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ЭтаКнига"/>
  <bookViews>
    <workbookView xWindow="0" yWindow="0" windowWidth="9570" windowHeight="2085" tabRatio="602" activeTab="0"/>
  </bookViews>
  <sheets>
    <sheet name="исполнения тар смет.за 2017 " sheetId="1" r:id="rId1"/>
  </sheets>
  <externalReferences>
    <externalReference r:id="rId4"/>
  </externalReferences>
  <definedNames>
    <definedName name="_xlnm.Print_Area" localSheetId="0">'исполнения тар смет.за 2017 '!$A$1:$H$97</definedName>
  </definedNames>
  <calcPr fullCalcOnLoad="1"/>
</workbook>
</file>

<file path=xl/sharedStrings.xml><?xml version="1.0" encoding="utf-8"?>
<sst xmlns="http://schemas.openxmlformats.org/spreadsheetml/2006/main" count="234" uniqueCount="153">
  <si>
    <t>подряд</t>
  </si>
  <si>
    <t>Наименование показателей</t>
  </si>
  <si>
    <t>Материальные затраты, всего</t>
  </si>
  <si>
    <t xml:space="preserve">Затраты на оплату труда, в том числе </t>
  </si>
  <si>
    <t>заработная плата</t>
  </si>
  <si>
    <t>социальный налог</t>
  </si>
  <si>
    <t>Ремонт, всего</t>
  </si>
  <si>
    <t>водоснабжение и канализация</t>
  </si>
  <si>
    <t>отопление и г/вс</t>
  </si>
  <si>
    <t>5*5</t>
  </si>
  <si>
    <t>услуги охраны труда и тех.безопасности</t>
  </si>
  <si>
    <t>командировочные расходы</t>
  </si>
  <si>
    <t>техосмотр автотранспорта</t>
  </si>
  <si>
    <t>привлечение автотранспорта</t>
  </si>
  <si>
    <t>II.</t>
  </si>
  <si>
    <t>типографские</t>
  </si>
  <si>
    <t>III</t>
  </si>
  <si>
    <t>тыс.кВт.ч</t>
  </si>
  <si>
    <t>материалы</t>
  </si>
  <si>
    <t>гсм</t>
  </si>
  <si>
    <t>YII</t>
  </si>
  <si>
    <t>YIII</t>
  </si>
  <si>
    <t>IX</t>
  </si>
  <si>
    <t>Обьем оказываемых услуг реализации</t>
  </si>
  <si>
    <t>Тариф за 1квтч без НДС</t>
  </si>
  <si>
    <t>%</t>
  </si>
  <si>
    <t>тыс.тенге</t>
  </si>
  <si>
    <t>в том числе:</t>
  </si>
  <si>
    <t>тенге</t>
  </si>
  <si>
    <t>1.</t>
  </si>
  <si>
    <t>1*3</t>
  </si>
  <si>
    <t>1*4</t>
  </si>
  <si>
    <t>2.</t>
  </si>
  <si>
    <t>2*1</t>
  </si>
  <si>
    <t>2*2</t>
  </si>
  <si>
    <t>2*3</t>
  </si>
  <si>
    <t>дезобработка</t>
  </si>
  <si>
    <t>3.</t>
  </si>
  <si>
    <t>Амортизация</t>
  </si>
  <si>
    <t>4.</t>
  </si>
  <si>
    <t>ГСМ</t>
  </si>
  <si>
    <t>5.</t>
  </si>
  <si>
    <t>5*1</t>
  </si>
  <si>
    <t>5*2</t>
  </si>
  <si>
    <t>5*3</t>
  </si>
  <si>
    <t>6.</t>
  </si>
  <si>
    <t>6*1</t>
  </si>
  <si>
    <t>6*3</t>
  </si>
  <si>
    <t>экология</t>
  </si>
  <si>
    <t>топливо</t>
  </si>
  <si>
    <t>услуги связи</t>
  </si>
  <si>
    <t>командировочные</t>
  </si>
  <si>
    <t>сырье и материалы</t>
  </si>
  <si>
    <t>вневедомственная охрана</t>
  </si>
  <si>
    <t>госэнергоэкспертиза</t>
  </si>
  <si>
    <t>арендная плата</t>
  </si>
  <si>
    <t>услуги банка</t>
  </si>
  <si>
    <t>1*2</t>
  </si>
  <si>
    <t>5*4</t>
  </si>
  <si>
    <t>э/энергия на прожиг</t>
  </si>
  <si>
    <t>I.</t>
  </si>
  <si>
    <t>представительские расходы</t>
  </si>
  <si>
    <t xml:space="preserve">повышение квалификации </t>
  </si>
  <si>
    <t>налоговые платежи  и сборы</t>
  </si>
  <si>
    <t>Прочие затраты</t>
  </si>
  <si>
    <t>5*6</t>
  </si>
  <si>
    <t>5*7</t>
  </si>
  <si>
    <t>обязательные   виды страхования</t>
  </si>
  <si>
    <t>5*8</t>
  </si>
  <si>
    <t>Расходы периода,всего</t>
  </si>
  <si>
    <t>Общие и административные расходы,в.т.ч.</t>
  </si>
  <si>
    <t>Заработная плата администра.персонала</t>
  </si>
  <si>
    <t>Другие расходы всего в том числе</t>
  </si>
  <si>
    <t>канцелярские товары</t>
  </si>
  <si>
    <t>метрология</t>
  </si>
  <si>
    <t>почтовая связь</t>
  </si>
  <si>
    <t>публикация обьявлений</t>
  </si>
  <si>
    <t>техническая документация и экспертиза</t>
  </si>
  <si>
    <t>услуги (товары,работы) регистратора</t>
  </si>
  <si>
    <t>обеспечение программы</t>
  </si>
  <si>
    <t>IY</t>
  </si>
  <si>
    <t>Y</t>
  </si>
  <si>
    <t>ремонт и обслуживание оргтехники,расх мат .</t>
  </si>
  <si>
    <t>возврат материалов</t>
  </si>
  <si>
    <t>оплата аудиторских и юр. услуг</t>
  </si>
  <si>
    <t>5*9</t>
  </si>
  <si>
    <t>Единицы измерения</t>
  </si>
  <si>
    <t>Приложение 1
к Правилам утверждения
предельного уровня тарифов
(цен, ставок сборов) и тарифных
смет на регулируемые услуги
(товары, работы) субъектов
естественных монополий</t>
  </si>
  <si>
    <t>Форма, предназначенная для сбора административных данных</t>
  </si>
  <si>
    <t>Сведения об исполнении тарифной сметы на регулируемые услуги</t>
  </si>
  <si>
    <t>Отчетный период 2017 г.</t>
  </si>
  <si>
    <t>Индекс ИТС-1</t>
  </si>
  <si>
    <t>Периодичность: годовая</t>
  </si>
  <si>
    <r>
      <rPr>
        <b/>
        <sz val="14"/>
        <color indexed="8"/>
        <rFont val="Times New Roman"/>
        <family val="1"/>
      </rPr>
      <t>Представляют:</t>
    </r>
    <r>
      <rPr>
        <sz val="14"/>
        <color indexed="8"/>
        <rFont val="Times New Roman"/>
        <family val="1"/>
      </rPr>
      <t xml:space="preserve"> АО "ТАТЭК"</t>
    </r>
  </si>
  <si>
    <r>
      <rPr>
        <b/>
        <sz val="14"/>
        <color indexed="8"/>
        <rFont val="Times New Roman"/>
        <family val="1"/>
      </rPr>
      <t>Куда представляется форма:</t>
    </r>
    <r>
      <rPr>
        <sz val="14"/>
        <color indexed="8"/>
        <rFont val="Times New Roman"/>
        <family val="1"/>
      </rPr>
      <t xml:space="preserve"> Комитет по регулированию естественных монополий и защите конкуренции Министерства национальной экономики Республики Казахстан</t>
    </r>
  </si>
  <si>
    <r>
      <rPr>
        <b/>
        <sz val="14"/>
        <color indexed="8"/>
        <rFont val="Times New Roman"/>
        <family val="1"/>
      </rPr>
      <t>Срок предоставления</t>
    </r>
    <r>
      <rPr>
        <sz val="14"/>
        <color indexed="8"/>
        <rFont val="Times New Roman"/>
        <family val="1"/>
      </rPr>
      <t xml:space="preserve"> - ежегодно не позднее 1 мая года, следующего за отчетным периодом</t>
    </r>
  </si>
  <si>
    <t>№  п/п</t>
  </si>
  <si>
    <t>Предусмотрено в утвержденной тарифной смете</t>
  </si>
  <si>
    <t>Фактические сложившиеся показателей тарифной сметы</t>
  </si>
  <si>
    <t>отклонение в %</t>
  </si>
  <si>
    <t xml:space="preserve">   Причины отклонения</t>
  </si>
  <si>
    <t>Затраты на производство товаров и предоставление услуг, в том числе:</t>
  </si>
  <si>
    <t>покупные изделия(эл.энергия потери)</t>
  </si>
  <si>
    <t>1*5</t>
  </si>
  <si>
    <t>и.д</t>
  </si>
  <si>
    <t>за счет выполнения дополнительных работ по выполнению аварийно-востановительных работ.</t>
  </si>
  <si>
    <t>одной строкой</t>
  </si>
  <si>
    <t>рем ф</t>
  </si>
  <si>
    <t>для арема</t>
  </si>
  <si>
    <t>за счет дополнительного привлечения автотранспорта для перевозки материалов.</t>
  </si>
  <si>
    <t>1748 в вне.вед.ох</t>
  </si>
  <si>
    <t>по фактическим оказанным услугам.</t>
  </si>
  <si>
    <t>по фактическим расходом.</t>
  </si>
  <si>
    <t>в связи с увеличением объема работ.</t>
  </si>
  <si>
    <t>6*2</t>
  </si>
  <si>
    <t>налоги начислены в соответствии с налоговыми законодательством.</t>
  </si>
  <si>
    <t>прочие расходы</t>
  </si>
  <si>
    <t>7*1</t>
  </si>
  <si>
    <t>7*2</t>
  </si>
  <si>
    <t>7*3</t>
  </si>
  <si>
    <t>7*4</t>
  </si>
  <si>
    <t>8*1</t>
  </si>
  <si>
    <t>8*2</t>
  </si>
  <si>
    <t>8*3</t>
  </si>
  <si>
    <t>8*4</t>
  </si>
  <si>
    <t>8*5</t>
  </si>
  <si>
    <t>8*6</t>
  </si>
  <si>
    <t>8*7</t>
  </si>
  <si>
    <t>8*8</t>
  </si>
  <si>
    <t>8*9</t>
  </si>
  <si>
    <t>8*10</t>
  </si>
  <si>
    <t>8*11</t>
  </si>
  <si>
    <t>8*12</t>
  </si>
  <si>
    <t>8*13</t>
  </si>
  <si>
    <t>8*14</t>
  </si>
  <si>
    <t>Всего затрат на предоставление услуг</t>
  </si>
  <si>
    <t>Доход (РБА*СП)</t>
  </si>
  <si>
    <t>Всего доход</t>
  </si>
  <si>
    <r>
      <t>нормативные потери</t>
    </r>
    <r>
      <rPr>
        <sz val="10"/>
        <rFont val="Times New Roman"/>
        <family val="1"/>
      </rPr>
      <t xml:space="preserve"> </t>
    </r>
  </si>
  <si>
    <t>Наименование организации : АО "ТАТЭК"</t>
  </si>
  <si>
    <t>Адрес:  г.Талдыкорган ул Абылайхана 274</t>
  </si>
  <si>
    <t>Телефон : 23-33-46</t>
  </si>
  <si>
    <r>
      <t>Адрес электронной почты :</t>
    </r>
    <r>
      <rPr>
        <u val="single"/>
        <sz val="14"/>
        <color indexed="8"/>
        <rFont val="Times New Roman"/>
        <family val="1"/>
      </rPr>
      <t xml:space="preserve"> tatek_peo@mail ru</t>
    </r>
  </si>
  <si>
    <t>Фамилия и телефон исполнителя: 23-33-46 вн 437</t>
  </si>
  <si>
    <t>Председатель Правления                                                              Демидов С.</t>
  </si>
  <si>
    <t>Зам.Председателя 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экономике и финансам                                                           Адамбекова Г.Е.</t>
  </si>
  <si>
    <t> </t>
  </si>
  <si>
    <t>М.П.</t>
  </si>
  <si>
    <t>ОСМС</t>
  </si>
  <si>
    <t>прибыль от основной деятельн</t>
  </si>
  <si>
    <t>абсолют                      гр 6/гр 4</t>
  </si>
  <si>
    <t>за счет увеличением цен на ГСМ</t>
  </si>
  <si>
    <t>за счет списания спец одежды и защитных средств связи с истечением срока носки, и непригодностью.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</si>
</sst>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00"/>
    <numFmt numFmtId="177" formatCode="0.0000000"/>
    <numFmt numFmtId="178" formatCode="0.000000"/>
    <numFmt numFmtId="179" formatCode="0.000000000"/>
    <numFmt numFmtId="180" formatCode="0.0000000000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%"/>
    <numFmt numFmtId="188" formatCode="#,##0.000"/>
    <numFmt numFmtId="189" formatCode="#,##0.0000"/>
    <numFmt numFmtId="190" formatCode="#,##0.00000"/>
    <numFmt numFmtId="191" formatCode="#,##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4"/>
      <name val="Arial Cyr"/>
      <family val="0"/>
    </font>
    <font>
      <u val="single"/>
      <sz val="14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2" fontId="0" fillId="0" borderId="0" xfId="0" applyNumberFormat="1" applyAlignment="1">
      <alignment/>
    </xf>
    <xf numFmtId="186" fontId="0" fillId="0" borderId="0" xfId="0" applyNumberFormat="1" applyAlignment="1">
      <alignment/>
    </xf>
    <xf numFmtId="172" fontId="1" fillId="0" borderId="10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172" fontId="2" fillId="0" borderId="11" xfId="0" applyNumberFormat="1" applyFont="1" applyBorder="1" applyAlignment="1">
      <alignment vertical="center" wrapText="1"/>
    </xf>
    <xf numFmtId="172" fontId="2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left"/>
    </xf>
    <xf numFmtId="172" fontId="2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6" xfId="0" applyNumberFormat="1" applyFont="1" applyBorder="1" applyAlignment="1">
      <alignment vertical="justify" wrapText="1"/>
    </xf>
    <xf numFmtId="0" fontId="0" fillId="13" borderId="0" xfId="0" applyFill="1" applyAlignment="1">
      <alignment/>
    </xf>
    <xf numFmtId="172" fontId="1" fillId="0" borderId="10" xfId="0" applyNumberFormat="1" applyFont="1" applyFill="1" applyBorder="1" applyAlignment="1">
      <alignment horizontal="left"/>
    </xf>
    <xf numFmtId="172" fontId="1" fillId="0" borderId="16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16" borderId="0" xfId="0" applyFill="1" applyAlignment="1">
      <alignment/>
    </xf>
    <xf numFmtId="172" fontId="0" fillId="33" borderId="0" xfId="0" applyNumberFormat="1" applyFill="1" applyAlignment="1">
      <alignment/>
    </xf>
    <xf numFmtId="172" fontId="2" fillId="0" borderId="10" xfId="0" applyNumberFormat="1" applyFont="1" applyBorder="1" applyAlignment="1">
      <alignment vertical="center"/>
    </xf>
    <xf numFmtId="172" fontId="1" fillId="0" borderId="16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72" fontId="10" fillId="0" borderId="12" xfId="0" applyNumberFormat="1" applyFont="1" applyBorder="1" applyAlignment="1">
      <alignment horizontal="center"/>
    </xf>
    <xf numFmtId="172" fontId="0" fillId="34" borderId="0" xfId="0" applyNumberFormat="1" applyFill="1" applyAlignment="1">
      <alignment/>
    </xf>
    <xf numFmtId="0" fontId="0" fillId="10" borderId="0" xfId="0" applyFill="1" applyAlignment="1">
      <alignment/>
    </xf>
    <xf numFmtId="172" fontId="0" fillId="9" borderId="0" xfId="0" applyNumberFormat="1" applyFill="1" applyAlignment="1">
      <alignment/>
    </xf>
    <xf numFmtId="172" fontId="1" fillId="0" borderId="10" xfId="0" applyNumberFormat="1" applyFont="1" applyBorder="1" applyAlignment="1">
      <alignment vertical="center"/>
    </xf>
    <xf numFmtId="186" fontId="1" fillId="0" borderId="10" xfId="0" applyNumberFormat="1" applyFont="1" applyFill="1" applyBorder="1" applyAlignment="1">
      <alignment horizontal="center" vertical="center"/>
    </xf>
    <xf numFmtId="172" fontId="0" fillId="9" borderId="0" xfId="0" applyNumberFormat="1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/>
    </xf>
    <xf numFmtId="0" fontId="0" fillId="18" borderId="0" xfId="0" applyFill="1" applyAlignment="1">
      <alignment/>
    </xf>
    <xf numFmtId="172" fontId="0" fillId="2" borderId="0" xfId="0" applyNumberFormat="1" applyFill="1" applyAlignment="1">
      <alignment/>
    </xf>
    <xf numFmtId="172" fontId="0" fillId="11" borderId="0" xfId="0" applyNumberFormat="1" applyFill="1" applyAlignment="1">
      <alignment/>
    </xf>
    <xf numFmtId="172" fontId="0" fillId="19" borderId="0" xfId="0" applyNumberFormat="1" applyFill="1" applyAlignment="1">
      <alignment/>
    </xf>
    <xf numFmtId="0" fontId="2" fillId="0" borderId="12" xfId="0" applyFont="1" applyBorder="1" applyAlignment="1">
      <alignment horizontal="center"/>
    </xf>
    <xf numFmtId="172" fontId="1" fillId="0" borderId="10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2" fillId="0" borderId="12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left" vertical="center"/>
    </xf>
    <xf numFmtId="0" fontId="0" fillId="34" borderId="0" xfId="0" applyFill="1" applyAlignment="1">
      <alignment/>
    </xf>
    <xf numFmtId="0" fontId="0" fillId="37" borderId="0" xfId="0" applyFill="1" applyAlignment="1">
      <alignment/>
    </xf>
    <xf numFmtId="0" fontId="0" fillId="19" borderId="0" xfId="0" applyFill="1" applyAlignment="1">
      <alignment/>
    </xf>
    <xf numFmtId="172" fontId="0" fillId="3" borderId="0" xfId="0" applyNumberFormat="1" applyFill="1" applyAlignment="1">
      <alignment/>
    </xf>
    <xf numFmtId="186" fontId="0" fillId="4" borderId="0" xfId="0" applyNumberFormat="1" applyFill="1" applyAlignment="1">
      <alignment/>
    </xf>
    <xf numFmtId="1" fontId="2" fillId="0" borderId="12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0" fillId="35" borderId="0" xfId="0" applyFill="1" applyAlignment="1">
      <alignment/>
    </xf>
    <xf numFmtId="0" fontId="0" fillId="38" borderId="0" xfId="0" applyFill="1" applyAlignment="1">
      <alignment/>
    </xf>
    <xf numFmtId="0" fontId="0" fillId="3" borderId="0" xfId="0" applyFill="1" applyAlignment="1">
      <alignment/>
    </xf>
    <xf numFmtId="0" fontId="0" fillId="39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172" fontId="1" fillId="0" borderId="10" xfId="0" applyNumberFormat="1" applyFont="1" applyBorder="1" applyAlignment="1">
      <alignment horizontal="justify"/>
    </xf>
    <xf numFmtId="3" fontId="2" fillId="0" borderId="10" xfId="0" applyNumberFormat="1" applyFont="1" applyFill="1" applyBorder="1" applyAlignment="1">
      <alignment horizontal="center"/>
    </xf>
    <xf numFmtId="172" fontId="1" fillId="0" borderId="16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justify"/>
    </xf>
    <xf numFmtId="172" fontId="2" fillId="0" borderId="18" xfId="0" applyNumberFormat="1" applyFont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72" fontId="1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4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55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172" fontId="1" fillId="0" borderId="18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/>
    </xf>
    <xf numFmtId="172" fontId="2" fillId="0" borderId="10" xfId="0" applyNumberFormat="1" applyFont="1" applyBorder="1" applyAlignment="1">
      <alignment horizontal="justify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172" fontId="7" fillId="0" borderId="0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8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40;&#1085;&#1072;&#1083;&#1080;&#1079;%20&#1079;&#1072;&#1090;&#1088;&#1072;&#1090;%20&#1080;%20&#1080;&#1089;&#1087;&#1086;&#1083;&#1085;&#1077;&#1085;&#1080;&#1077;%20&#1090;&#1072;&#1088;&#1080;&#1092;&#1085;&#1086;&#1081;%20&#1089;&#1084;&#1077;&#1090;&#1099;%20&#1079;&#1072;%202016&#1075;&#1086;&#1076;%20&#1103;&#1085;&#1074;&#1072;&#1088;&#1100;-&#1084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-тысбыт"/>
      <sheetName val="Лист1"/>
      <sheetName val="Лист4"/>
      <sheetName val="Лист3"/>
      <sheetName val="Лист8"/>
    </sheetNames>
    <sheetDataSet>
      <sheetData sheetId="1">
        <row r="1677">
          <cell r="AP16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="75" zoomScaleSheetLayoutView="75" zoomScalePageLayoutView="0" workbookViewId="0" topLeftCell="A1">
      <selection activeCell="E49" sqref="E49"/>
    </sheetView>
  </sheetViews>
  <sheetFormatPr defaultColWidth="9.00390625" defaultRowHeight="12.75" outlineLevelRow="2"/>
  <cols>
    <col min="1" max="1" width="11.25390625" style="0" customWidth="1"/>
    <col min="2" max="2" width="49.125" style="0" customWidth="1"/>
    <col min="3" max="3" width="18.75390625" style="0" customWidth="1"/>
    <col min="4" max="4" width="17.00390625" style="100" customWidth="1"/>
    <col min="5" max="5" width="17.375" style="100" customWidth="1"/>
    <col min="6" max="6" width="15.875" style="0" customWidth="1"/>
    <col min="7" max="7" width="16.125" style="0" customWidth="1"/>
    <col min="8" max="8" width="59.75390625" style="0" customWidth="1"/>
    <col min="9" max="9" width="14.625" style="0" hidden="1" customWidth="1"/>
    <col min="10" max="10" width="11.875" style="0" hidden="1" customWidth="1"/>
    <col min="11" max="13" width="0" style="0" hidden="1" customWidth="1"/>
    <col min="14" max="14" width="12.125" style="0" hidden="1" customWidth="1"/>
    <col min="15" max="16" width="0" style="0" hidden="1" customWidth="1"/>
    <col min="17" max="17" width="13.125" style="0" customWidth="1"/>
    <col min="18" max="18" width="4.75390625" style="0" customWidth="1"/>
  </cols>
  <sheetData>
    <row r="1" spans="1:8" ht="126" customHeight="1">
      <c r="A1" s="7"/>
      <c r="B1" s="7"/>
      <c r="C1" s="7"/>
      <c r="D1" s="92"/>
      <c r="E1" s="92"/>
      <c r="F1" s="124" t="s">
        <v>87</v>
      </c>
      <c r="G1" s="124"/>
      <c r="H1" s="124"/>
    </row>
    <row r="2" spans="1:8" ht="22.5" customHeight="1">
      <c r="A2" s="102" t="s">
        <v>88</v>
      </c>
      <c r="B2" s="102"/>
      <c r="C2" s="102"/>
      <c r="D2" s="102"/>
      <c r="E2" s="102"/>
      <c r="F2" s="102"/>
      <c r="G2" s="102"/>
      <c r="H2" s="102"/>
    </row>
    <row r="3" spans="1:8" ht="21" customHeight="1">
      <c r="A3" s="102" t="s">
        <v>89</v>
      </c>
      <c r="B3" s="102"/>
      <c r="C3" s="102"/>
      <c r="D3" s="102"/>
      <c r="E3" s="102"/>
      <c r="F3" s="102"/>
      <c r="G3" s="102"/>
      <c r="H3" s="102"/>
    </row>
    <row r="4" spans="1:8" ht="21" customHeight="1">
      <c r="A4" s="8"/>
      <c r="B4" s="8"/>
      <c r="C4" s="8"/>
      <c r="D4" s="93"/>
      <c r="E4" s="93"/>
      <c r="F4" s="8"/>
      <c r="G4" s="8"/>
      <c r="H4" s="8"/>
    </row>
    <row r="5" spans="1:8" ht="22.5" customHeight="1">
      <c r="A5" s="125" t="s">
        <v>90</v>
      </c>
      <c r="B5" s="125"/>
      <c r="C5" s="125"/>
      <c r="D5" s="125"/>
      <c r="E5" s="125"/>
      <c r="F5" s="125"/>
      <c r="G5" s="125"/>
      <c r="H5" s="125"/>
    </row>
    <row r="6" spans="1:8" ht="22.5" customHeight="1">
      <c r="A6" s="9"/>
      <c r="B6" s="9"/>
      <c r="C6" s="9"/>
      <c r="D6" s="94"/>
      <c r="E6" s="94"/>
      <c r="F6" s="9"/>
      <c r="G6" s="9"/>
      <c r="H6" s="9"/>
    </row>
    <row r="7" spans="1:8" ht="20.25" customHeight="1">
      <c r="A7" s="102" t="s">
        <v>91</v>
      </c>
      <c r="B7" s="102"/>
      <c r="C7" s="102"/>
      <c r="D7" s="102"/>
      <c r="E7" s="102"/>
      <c r="F7" s="102"/>
      <c r="G7" s="102"/>
      <c r="H7" s="102"/>
    </row>
    <row r="8" spans="1:8" ht="20.25" customHeight="1">
      <c r="A8" s="102" t="s">
        <v>92</v>
      </c>
      <c r="B8" s="102"/>
      <c r="C8" s="102"/>
      <c r="D8" s="102"/>
      <c r="E8" s="102"/>
      <c r="F8" s="102"/>
      <c r="G8" s="102"/>
      <c r="H8" s="102"/>
    </row>
    <row r="9" spans="1:8" ht="20.25" customHeight="1">
      <c r="A9" s="114" t="s">
        <v>93</v>
      </c>
      <c r="B9" s="115"/>
      <c r="C9" s="115"/>
      <c r="D9" s="115"/>
      <c r="E9" s="115"/>
      <c r="F9" s="115"/>
      <c r="G9" s="115"/>
      <c r="H9" s="115"/>
    </row>
    <row r="10" spans="1:8" ht="37.5" customHeight="1">
      <c r="A10" s="116" t="s">
        <v>94</v>
      </c>
      <c r="B10" s="116"/>
      <c r="C10" s="116"/>
      <c r="D10" s="116"/>
      <c r="E10" s="116"/>
      <c r="F10" s="116"/>
      <c r="G10" s="116"/>
      <c r="H10" s="116"/>
    </row>
    <row r="11" spans="1:8" ht="21" customHeight="1">
      <c r="A11" s="115" t="s">
        <v>95</v>
      </c>
      <c r="B11" s="115"/>
      <c r="C11" s="115"/>
      <c r="D11" s="115"/>
      <c r="E11" s="115"/>
      <c r="F11" s="115"/>
      <c r="G11" s="115"/>
      <c r="H11" s="115"/>
    </row>
    <row r="12" spans="1:8" ht="16.5" thickBot="1">
      <c r="A12" s="117"/>
      <c r="B12" s="117"/>
      <c r="C12" s="117"/>
      <c r="D12" s="117"/>
      <c r="E12" s="117"/>
      <c r="F12" s="117"/>
      <c r="G12" s="117"/>
      <c r="H12" s="117"/>
    </row>
    <row r="13" spans="1:8" ht="32.25" customHeight="1">
      <c r="A13" s="118" t="s">
        <v>96</v>
      </c>
      <c r="B13" s="121" t="s">
        <v>1</v>
      </c>
      <c r="C13" s="111" t="s">
        <v>86</v>
      </c>
      <c r="D13" s="126" t="s">
        <v>97</v>
      </c>
      <c r="E13" s="126" t="s">
        <v>98</v>
      </c>
      <c r="F13" s="10"/>
      <c r="G13" s="111" t="s">
        <v>99</v>
      </c>
      <c r="H13" s="106" t="s">
        <v>100</v>
      </c>
    </row>
    <row r="14" spans="1:8" ht="12.75" customHeight="1">
      <c r="A14" s="119"/>
      <c r="B14" s="122"/>
      <c r="C14" s="109"/>
      <c r="D14" s="127"/>
      <c r="E14" s="127"/>
      <c r="F14" s="109" t="s">
        <v>150</v>
      </c>
      <c r="G14" s="109"/>
      <c r="H14" s="107"/>
    </row>
    <row r="15" spans="1:8" ht="12.75" customHeight="1">
      <c r="A15" s="119"/>
      <c r="B15" s="122"/>
      <c r="C15" s="109"/>
      <c r="D15" s="127"/>
      <c r="E15" s="127"/>
      <c r="F15" s="109"/>
      <c r="G15" s="109"/>
      <c r="H15" s="107"/>
    </row>
    <row r="16" spans="1:8" ht="8.25" customHeight="1" thickBot="1">
      <c r="A16" s="120"/>
      <c r="B16" s="123"/>
      <c r="C16" s="110"/>
      <c r="D16" s="128"/>
      <c r="E16" s="128"/>
      <c r="F16" s="110"/>
      <c r="G16" s="110"/>
      <c r="H16" s="108"/>
    </row>
    <row r="17" spans="1:8" ht="12.75">
      <c r="A17" s="12">
        <v>1</v>
      </c>
      <c r="B17" s="13">
        <v>2</v>
      </c>
      <c r="C17" s="13">
        <v>3</v>
      </c>
      <c r="D17" s="95">
        <v>4</v>
      </c>
      <c r="E17" s="95">
        <v>5</v>
      </c>
      <c r="F17" s="13">
        <v>7</v>
      </c>
      <c r="G17" s="13">
        <v>6</v>
      </c>
      <c r="H17" s="14">
        <v>7</v>
      </c>
    </row>
    <row r="18" spans="1:8" ht="34.5" customHeight="1">
      <c r="A18" s="11" t="s">
        <v>60</v>
      </c>
      <c r="B18" s="15" t="s">
        <v>101</v>
      </c>
      <c r="C18" s="16" t="s">
        <v>26</v>
      </c>
      <c r="D18" s="17">
        <f>D19+D26+D30+D31+D38</f>
        <v>3101274.3000000003</v>
      </c>
      <c r="E18" s="17">
        <f>E19+E26+E30+E31+E38</f>
        <v>3226010.44</v>
      </c>
      <c r="F18" s="17">
        <f>F19+F26+F30+F31+F38</f>
        <v>124736.1400000001</v>
      </c>
      <c r="G18" s="18">
        <f aca="true" t="shared" si="0" ref="G18:G35">E18/D18*100</f>
        <v>104.02209311185405</v>
      </c>
      <c r="H18" s="19"/>
    </row>
    <row r="19" spans="1:8" ht="12.75">
      <c r="A19" s="20" t="s">
        <v>29</v>
      </c>
      <c r="B19" s="21" t="s">
        <v>2</v>
      </c>
      <c r="C19" s="22" t="s">
        <v>26</v>
      </c>
      <c r="D19" s="5">
        <f>SUM(D21:D24)</f>
        <v>1107769.2000000002</v>
      </c>
      <c r="E19" s="5">
        <f>SUM(E21:E24)</f>
        <v>1126005.4400000002</v>
      </c>
      <c r="F19" s="23">
        <f>E19-D19</f>
        <v>18236.23999999999</v>
      </c>
      <c r="G19" s="24">
        <f t="shared" si="0"/>
        <v>101.64621294760678</v>
      </c>
      <c r="H19" s="25"/>
    </row>
    <row r="20" spans="1:8" ht="12.75">
      <c r="A20" s="20"/>
      <c r="B20" s="21" t="s">
        <v>27</v>
      </c>
      <c r="C20" s="22"/>
      <c r="D20" s="4"/>
      <c r="E20" s="4"/>
      <c r="F20" s="24"/>
      <c r="G20" s="24"/>
      <c r="H20" s="25"/>
    </row>
    <row r="21" spans="1:9" ht="25.5">
      <c r="A21" s="20" t="s">
        <v>57</v>
      </c>
      <c r="B21" s="26" t="s">
        <v>52</v>
      </c>
      <c r="C21" s="22" t="s">
        <v>26</v>
      </c>
      <c r="D21" s="4">
        <v>21330.1</v>
      </c>
      <c r="E21" s="4">
        <f>32493.6-10500+450+11</f>
        <v>22454.6</v>
      </c>
      <c r="F21" s="4">
        <f>E21-D21</f>
        <v>1124.5</v>
      </c>
      <c r="G21" s="4">
        <f t="shared" si="0"/>
        <v>105.27189277124813</v>
      </c>
      <c r="H21" s="36" t="s">
        <v>105</v>
      </c>
      <c r="I21" s="28">
        <v>-16900</v>
      </c>
    </row>
    <row r="22" spans="1:9" ht="12.75">
      <c r="A22" s="20" t="s">
        <v>30</v>
      </c>
      <c r="B22" s="26" t="s">
        <v>102</v>
      </c>
      <c r="C22" s="22"/>
      <c r="D22" s="4">
        <v>1031950.5</v>
      </c>
      <c r="E22" s="4">
        <v>1038991.24</v>
      </c>
      <c r="F22" s="4">
        <f>E22-D22</f>
        <v>7040.739999999991</v>
      </c>
      <c r="G22" s="4">
        <f>E22/D22*100</f>
        <v>100.68227497346045</v>
      </c>
      <c r="H22" s="27"/>
      <c r="I22" s="28"/>
    </row>
    <row r="23" spans="1:9" ht="12.75">
      <c r="A23" s="20" t="s">
        <v>31</v>
      </c>
      <c r="B23" s="29" t="s">
        <v>40</v>
      </c>
      <c r="C23" s="22" t="s">
        <v>26</v>
      </c>
      <c r="D23" s="4">
        <v>47964.8</v>
      </c>
      <c r="E23" s="4">
        <f>66566.6-10000</f>
        <v>56566.600000000006</v>
      </c>
      <c r="F23" s="4">
        <f>E23-D23</f>
        <v>8601.800000000003</v>
      </c>
      <c r="G23" s="4">
        <f>E23/D23*100</f>
        <v>117.93356794982988</v>
      </c>
      <c r="H23" s="27" t="s">
        <v>151</v>
      </c>
      <c r="I23" s="28"/>
    </row>
    <row r="24" spans="1:11" ht="12.75">
      <c r="A24" s="20" t="s">
        <v>103</v>
      </c>
      <c r="B24" s="26" t="s">
        <v>49</v>
      </c>
      <c r="C24" s="22" t="s">
        <v>26</v>
      </c>
      <c r="D24" s="4">
        <v>6523.8</v>
      </c>
      <c r="E24" s="4">
        <v>7993</v>
      </c>
      <c r="F24" s="4">
        <f>E24-D24</f>
        <v>1469.1999999999998</v>
      </c>
      <c r="G24" s="4">
        <f t="shared" si="0"/>
        <v>122.5206168184187</v>
      </c>
      <c r="H24" s="30"/>
      <c r="I24">
        <v>385.7</v>
      </c>
      <c r="J24">
        <v>135</v>
      </c>
      <c r="K24">
        <v>500</v>
      </c>
    </row>
    <row r="25" spans="1:8" ht="12.75" hidden="1">
      <c r="A25" s="20"/>
      <c r="B25" s="26"/>
      <c r="C25" s="22"/>
      <c r="D25" s="4"/>
      <c r="E25" s="4"/>
      <c r="F25" s="4">
        <f>E25-D25</f>
        <v>0</v>
      </c>
      <c r="G25" s="4"/>
      <c r="H25" s="25"/>
    </row>
    <row r="26" spans="1:10" ht="12.75">
      <c r="A26" s="20" t="s">
        <v>32</v>
      </c>
      <c r="B26" s="31" t="s">
        <v>3</v>
      </c>
      <c r="C26" s="22" t="s">
        <v>26</v>
      </c>
      <c r="D26" s="5">
        <f>D27+D28</f>
        <v>1186762.2</v>
      </c>
      <c r="E26" s="5">
        <f>E27+E28+E29</f>
        <v>1243804.7</v>
      </c>
      <c r="F26" s="5">
        <f>F27+F28+F29</f>
        <v>57042.50000000009</v>
      </c>
      <c r="G26" s="4">
        <f t="shared" si="0"/>
        <v>104.80656529168186</v>
      </c>
      <c r="H26" s="32"/>
      <c r="I26" s="1"/>
      <c r="J26" s="1"/>
    </row>
    <row r="27" spans="1:11" ht="12.75">
      <c r="A27" s="20" t="s">
        <v>33</v>
      </c>
      <c r="B27" s="26" t="s">
        <v>4</v>
      </c>
      <c r="C27" s="22" t="s">
        <v>26</v>
      </c>
      <c r="D27" s="4">
        <v>1079856.4</v>
      </c>
      <c r="E27" s="4">
        <v>1127383.5</v>
      </c>
      <c r="F27" s="4">
        <f aca="true" t="shared" si="1" ref="F27:F76">E27-D27</f>
        <v>47527.10000000009</v>
      </c>
      <c r="G27" s="4">
        <f t="shared" si="0"/>
        <v>104.40124260966553</v>
      </c>
      <c r="H27" s="25" t="s">
        <v>113</v>
      </c>
      <c r="I27" s="1">
        <v>-21413</v>
      </c>
      <c r="K27" s="33">
        <f>21413+22375-10514.8</f>
        <v>33273.2</v>
      </c>
    </row>
    <row r="28" spans="1:14" ht="12.75">
      <c r="A28" s="20" t="s">
        <v>34</v>
      </c>
      <c r="B28" s="26" t="s">
        <v>5</v>
      </c>
      <c r="C28" s="22" t="s">
        <v>26</v>
      </c>
      <c r="D28" s="4">
        <v>106905.8</v>
      </c>
      <c r="E28" s="4">
        <f>117344.2-5900-5512+4977</f>
        <v>110909.2</v>
      </c>
      <c r="F28" s="4">
        <f>E28-D28</f>
        <v>4003.399999999994</v>
      </c>
      <c r="G28" s="4">
        <f t="shared" si="0"/>
        <v>103.74479214411193</v>
      </c>
      <c r="H28" s="25" t="s">
        <v>113</v>
      </c>
      <c r="I28" s="34">
        <v>3836.8</v>
      </c>
      <c r="K28" s="33">
        <f>5741-1156</f>
        <v>4585</v>
      </c>
      <c r="L28" s="33">
        <v>3389</v>
      </c>
      <c r="M28">
        <f>K28-L28</f>
        <v>1196</v>
      </c>
      <c r="N28" t="s">
        <v>104</v>
      </c>
    </row>
    <row r="29" spans="1:8" ht="12.75">
      <c r="A29" s="20" t="s">
        <v>35</v>
      </c>
      <c r="B29" s="26" t="s">
        <v>148</v>
      </c>
      <c r="C29" s="22" t="s">
        <v>26</v>
      </c>
      <c r="D29" s="4">
        <f>'[1]Лист1'!AP1677</f>
        <v>0</v>
      </c>
      <c r="E29" s="4">
        <v>5512</v>
      </c>
      <c r="F29" s="4">
        <f t="shared" si="1"/>
        <v>5512</v>
      </c>
      <c r="G29" s="4"/>
      <c r="H29" s="25"/>
    </row>
    <row r="30" spans="1:8" ht="12.75">
      <c r="A30" s="20" t="s">
        <v>37</v>
      </c>
      <c r="B30" s="31" t="s">
        <v>38</v>
      </c>
      <c r="C30" s="22" t="s">
        <v>26</v>
      </c>
      <c r="D30" s="5">
        <v>507570</v>
      </c>
      <c r="E30" s="5">
        <v>507570</v>
      </c>
      <c r="F30" s="5">
        <f>E30-D30</f>
        <v>0</v>
      </c>
      <c r="G30" s="4">
        <f t="shared" si="0"/>
        <v>100</v>
      </c>
      <c r="H30" s="27"/>
    </row>
    <row r="31" spans="1:11" s="37" customFormat="1" ht="27.75" customHeight="1">
      <c r="A31" s="11" t="s">
        <v>39</v>
      </c>
      <c r="B31" s="35" t="s">
        <v>6</v>
      </c>
      <c r="C31" s="16" t="s">
        <v>26</v>
      </c>
      <c r="D31" s="17">
        <f>SUM(D32:D37)</f>
        <v>256098</v>
      </c>
      <c r="E31" s="17">
        <f>SUM(E32:E35)</f>
        <v>301016.4</v>
      </c>
      <c r="F31" s="17">
        <f t="shared" si="1"/>
        <v>44918.40000000002</v>
      </c>
      <c r="G31" s="43">
        <f t="shared" si="0"/>
        <v>117.53953564651034</v>
      </c>
      <c r="H31" s="36" t="s">
        <v>105</v>
      </c>
      <c r="I31" s="37" t="s">
        <v>106</v>
      </c>
      <c r="J31" s="37" t="s">
        <v>107</v>
      </c>
      <c r="K31" s="37" t="s">
        <v>108</v>
      </c>
    </row>
    <row r="32" spans="1:9" ht="13.5" hidden="1" outlineLevel="2">
      <c r="A32" s="38"/>
      <c r="B32" s="26" t="s">
        <v>51</v>
      </c>
      <c r="C32" s="22" t="s">
        <v>26</v>
      </c>
      <c r="D32" s="4">
        <f>16430.3-5424.3</f>
        <v>11006</v>
      </c>
      <c r="E32" s="4">
        <f>12982.2-1900-76.2</f>
        <v>11006</v>
      </c>
      <c r="F32" s="4">
        <f t="shared" si="1"/>
        <v>0</v>
      </c>
      <c r="G32" s="4">
        <f t="shared" si="0"/>
        <v>100</v>
      </c>
      <c r="H32" s="25"/>
      <c r="I32" s="39">
        <v>1666</v>
      </c>
    </row>
    <row r="33" spans="1:11" ht="13.5" hidden="1" outlineLevel="2">
      <c r="A33" s="38"/>
      <c r="B33" s="26" t="s">
        <v>18</v>
      </c>
      <c r="C33" s="22" t="s">
        <v>26</v>
      </c>
      <c r="D33" s="4">
        <f>207737.2+1079.8+5424.3</f>
        <v>214241.3</v>
      </c>
      <c r="E33" s="4">
        <f>223893.6+10500+4990+5000+5000-554-112.2-200-14-6-8.3-50-50-8</f>
        <v>248381.1</v>
      </c>
      <c r="F33" s="4">
        <f t="shared" si="1"/>
        <v>34139.80000000002</v>
      </c>
      <c r="G33" s="4">
        <f t="shared" si="0"/>
        <v>115.93520950442328</v>
      </c>
      <c r="H33" s="27"/>
      <c r="I33" s="28">
        <v>16900</v>
      </c>
      <c r="J33">
        <v>3435</v>
      </c>
      <c r="K33">
        <v>1600</v>
      </c>
    </row>
    <row r="34" spans="1:10" ht="13.5" hidden="1" outlineLevel="2">
      <c r="A34" s="38"/>
      <c r="B34" s="26" t="s">
        <v>19</v>
      </c>
      <c r="C34" s="22" t="s">
        <v>26</v>
      </c>
      <c r="D34" s="4">
        <v>20541</v>
      </c>
      <c r="E34" s="4">
        <f>18585.6+10000</f>
        <v>28585.6</v>
      </c>
      <c r="F34" s="4">
        <f t="shared" si="1"/>
        <v>8044.5999999999985</v>
      </c>
      <c r="G34" s="4">
        <f t="shared" si="0"/>
        <v>139.16362397156905</v>
      </c>
      <c r="H34" s="25"/>
      <c r="I34" s="40">
        <v>4277</v>
      </c>
      <c r="J34">
        <v>-500</v>
      </c>
    </row>
    <row r="35" spans="1:14" ht="15" customHeight="1" hidden="1" outlineLevel="2">
      <c r="A35" s="38"/>
      <c r="B35" s="26" t="s">
        <v>0</v>
      </c>
      <c r="C35" s="22" t="s">
        <v>26</v>
      </c>
      <c r="D35" s="4">
        <v>10287.1</v>
      </c>
      <c r="E35" s="4">
        <v>13043.7</v>
      </c>
      <c r="F35" s="4">
        <f t="shared" si="1"/>
        <v>2756.6000000000004</v>
      </c>
      <c r="G35" s="4">
        <f t="shared" si="0"/>
        <v>126.79666767116098</v>
      </c>
      <c r="H35" s="25"/>
      <c r="I35" s="41">
        <v>3063.6</v>
      </c>
      <c r="N35" s="2" t="e">
        <f>E27+E50+#REF!</f>
        <v>#REF!</v>
      </c>
    </row>
    <row r="36" spans="1:8" ht="13.5" hidden="1" outlineLevel="1" collapsed="1">
      <c r="A36" s="38"/>
      <c r="B36" s="26" t="s">
        <v>59</v>
      </c>
      <c r="C36" s="22" t="s">
        <v>26</v>
      </c>
      <c r="D36" s="4">
        <v>22.6</v>
      </c>
      <c r="E36" s="4"/>
      <c r="F36" s="4">
        <f t="shared" si="1"/>
        <v>-22.6</v>
      </c>
      <c r="G36" s="4">
        <f>E36/D36*100</f>
        <v>0</v>
      </c>
      <c r="H36" s="25"/>
    </row>
    <row r="37" spans="1:8" ht="13.5" hidden="1" outlineLevel="1">
      <c r="A37" s="38"/>
      <c r="B37" s="26" t="s">
        <v>83</v>
      </c>
      <c r="C37" s="22" t="s">
        <v>26</v>
      </c>
      <c r="D37" s="4"/>
      <c r="E37" s="4"/>
      <c r="F37" s="4">
        <f t="shared" si="1"/>
        <v>0</v>
      </c>
      <c r="G37" s="4" t="e">
        <f>E37/D37*100</f>
        <v>#DIV/0!</v>
      </c>
      <c r="H37" s="25"/>
    </row>
    <row r="38" spans="1:9" ht="18.75" customHeight="1" collapsed="1">
      <c r="A38" s="20" t="s">
        <v>41</v>
      </c>
      <c r="B38" s="31" t="s">
        <v>64</v>
      </c>
      <c r="C38" s="22" t="s">
        <v>26</v>
      </c>
      <c r="D38" s="5">
        <f>SUM(D39:D47)</f>
        <v>43074.9</v>
      </c>
      <c r="E38" s="5">
        <f>SUM(E39:E47)</f>
        <v>47613.9</v>
      </c>
      <c r="F38" s="5">
        <f>E38-D38</f>
        <v>4539</v>
      </c>
      <c r="G38" s="4">
        <f>E38/D38*100</f>
        <v>110.53745916995746</v>
      </c>
      <c r="H38" s="25"/>
      <c r="I38" s="1"/>
    </row>
    <row r="39" spans="1:10" s="37" customFormat="1" ht="25.5">
      <c r="A39" s="11" t="s">
        <v>42</v>
      </c>
      <c r="B39" s="42" t="s">
        <v>13</v>
      </c>
      <c r="C39" s="16" t="s">
        <v>26</v>
      </c>
      <c r="D39" s="43">
        <v>973</v>
      </c>
      <c r="E39" s="43">
        <f>5970.5-4990+50-26</f>
        <v>1004.5</v>
      </c>
      <c r="F39" s="43">
        <f>E39-D39</f>
        <v>31.5</v>
      </c>
      <c r="G39" s="43">
        <f aca="true" t="shared" si="2" ref="G39:G75">E39/D39*100</f>
        <v>103.23741007194245</v>
      </c>
      <c r="H39" s="36" t="s">
        <v>109</v>
      </c>
      <c r="I39" s="44">
        <v>-3063.6</v>
      </c>
      <c r="J39" s="37">
        <v>45</v>
      </c>
    </row>
    <row r="40" spans="1:11" s="37" customFormat="1" ht="25.5">
      <c r="A40" s="11" t="s">
        <v>43</v>
      </c>
      <c r="B40" s="42" t="s">
        <v>10</v>
      </c>
      <c r="C40" s="16" t="s">
        <v>26</v>
      </c>
      <c r="D40" s="43">
        <v>15199</v>
      </c>
      <c r="E40" s="43">
        <f>28657.3-450-10000</f>
        <v>18207.3</v>
      </c>
      <c r="F40" s="43">
        <f t="shared" si="1"/>
        <v>3008.2999999999993</v>
      </c>
      <c r="G40" s="43">
        <f t="shared" si="2"/>
        <v>119.79274952299492</v>
      </c>
      <c r="H40" s="36" t="s">
        <v>152</v>
      </c>
      <c r="I40" s="45" t="s">
        <v>110</v>
      </c>
      <c r="J40" s="37">
        <v>-200</v>
      </c>
      <c r="K40" s="37">
        <v>-3435</v>
      </c>
    </row>
    <row r="41" spans="1:9" ht="12.75">
      <c r="A41" s="20" t="s">
        <v>44</v>
      </c>
      <c r="B41" s="26" t="s">
        <v>7</v>
      </c>
      <c r="C41" s="22" t="s">
        <v>26</v>
      </c>
      <c r="D41" s="4">
        <v>2959.8</v>
      </c>
      <c r="E41" s="4">
        <f>2405.4+554</f>
        <v>2959.4</v>
      </c>
      <c r="F41" s="4">
        <f t="shared" si="1"/>
        <v>-0.40000000000009095</v>
      </c>
      <c r="G41" s="4">
        <f t="shared" si="2"/>
        <v>99.98648557334955</v>
      </c>
      <c r="H41" s="25" t="s">
        <v>111</v>
      </c>
      <c r="I41">
        <v>200</v>
      </c>
    </row>
    <row r="42" spans="1:9" ht="12.75">
      <c r="A42" s="20" t="s">
        <v>58</v>
      </c>
      <c r="B42" s="26" t="s">
        <v>8</v>
      </c>
      <c r="C42" s="22" t="s">
        <v>26</v>
      </c>
      <c r="D42" s="4">
        <v>276</v>
      </c>
      <c r="E42" s="4">
        <f>438.5-160+50+5+0.6</f>
        <v>334.1</v>
      </c>
      <c r="F42" s="4">
        <f t="shared" si="1"/>
        <v>58.10000000000002</v>
      </c>
      <c r="G42" s="4">
        <f t="shared" si="2"/>
        <v>121.05072463768116</v>
      </c>
      <c r="H42" s="25"/>
      <c r="I42" s="46">
        <v>-496</v>
      </c>
    </row>
    <row r="43" spans="1:10" ht="12.75">
      <c r="A43" s="20" t="s">
        <v>9</v>
      </c>
      <c r="B43" s="26" t="s">
        <v>55</v>
      </c>
      <c r="C43" s="22" t="s">
        <v>26</v>
      </c>
      <c r="D43" s="4">
        <v>3000</v>
      </c>
      <c r="E43" s="4">
        <v>3512.8</v>
      </c>
      <c r="F43" s="4">
        <f t="shared" si="1"/>
        <v>512.8000000000002</v>
      </c>
      <c r="G43" s="4">
        <f t="shared" si="2"/>
        <v>117.09333333333333</v>
      </c>
      <c r="H43" s="25" t="s">
        <v>111</v>
      </c>
      <c r="I43" s="47">
        <v>-2616.6</v>
      </c>
      <c r="J43">
        <v>45</v>
      </c>
    </row>
    <row r="44" spans="1:9" ht="12.75">
      <c r="A44" s="20" t="s">
        <v>65</v>
      </c>
      <c r="B44" s="26" t="s">
        <v>62</v>
      </c>
      <c r="C44" s="22" t="s">
        <v>26</v>
      </c>
      <c r="D44" s="4">
        <v>1764</v>
      </c>
      <c r="E44" s="4">
        <f>1171.8+320+160+112.2+5.9</f>
        <v>1769.9</v>
      </c>
      <c r="F44" s="4">
        <f t="shared" si="1"/>
        <v>5.900000000000091</v>
      </c>
      <c r="G44" s="4">
        <f t="shared" si="2"/>
        <v>100.33446712018142</v>
      </c>
      <c r="H44" s="25" t="s">
        <v>111</v>
      </c>
      <c r="I44" s="48">
        <v>-200</v>
      </c>
    </row>
    <row r="45" spans="1:9" ht="12.75">
      <c r="A45" s="20" t="s">
        <v>66</v>
      </c>
      <c r="B45" s="26" t="s">
        <v>67</v>
      </c>
      <c r="C45" s="22" t="s">
        <v>26</v>
      </c>
      <c r="D45" s="4">
        <v>8839.7</v>
      </c>
      <c r="E45" s="4">
        <v>9671.6</v>
      </c>
      <c r="F45" s="4">
        <f t="shared" si="1"/>
        <v>831.8999999999996</v>
      </c>
      <c r="G45" s="4">
        <f t="shared" si="2"/>
        <v>109.41095286039118</v>
      </c>
      <c r="H45" s="25" t="s">
        <v>112</v>
      </c>
      <c r="I45" s="49">
        <v>-5360</v>
      </c>
    </row>
    <row r="46" spans="1:9" ht="12.75">
      <c r="A46" s="20" t="s">
        <v>68</v>
      </c>
      <c r="B46" s="26" t="s">
        <v>36</v>
      </c>
      <c r="C46" s="22" t="s">
        <v>26</v>
      </c>
      <c r="D46" s="4">
        <v>245.4</v>
      </c>
      <c r="E46" s="4">
        <f>570.3-320+8</f>
        <v>258.29999999999995</v>
      </c>
      <c r="F46" s="4">
        <f t="shared" si="1"/>
        <v>12.899999999999949</v>
      </c>
      <c r="G46" s="4">
        <f t="shared" si="2"/>
        <v>105.2567237163814</v>
      </c>
      <c r="H46" s="25" t="s">
        <v>111</v>
      </c>
      <c r="I46" s="1">
        <v>-385.7</v>
      </c>
    </row>
    <row r="47" spans="1:9" ht="12.75">
      <c r="A47" s="20" t="s">
        <v>85</v>
      </c>
      <c r="B47" s="26" t="s">
        <v>11</v>
      </c>
      <c r="C47" s="22" t="s">
        <v>26</v>
      </c>
      <c r="D47" s="4">
        <v>9818</v>
      </c>
      <c r="E47" s="4">
        <f>10796-900</f>
        <v>9896</v>
      </c>
      <c r="F47" s="4">
        <f t="shared" si="1"/>
        <v>78</v>
      </c>
      <c r="G47" s="4">
        <f t="shared" si="2"/>
        <v>100.79445915665104</v>
      </c>
      <c r="H47" s="25" t="s">
        <v>113</v>
      </c>
      <c r="I47" s="50">
        <v>118.3</v>
      </c>
    </row>
    <row r="48" spans="1:9" ht="12.75">
      <c r="A48" s="20" t="s">
        <v>14</v>
      </c>
      <c r="B48" s="22" t="s">
        <v>69</v>
      </c>
      <c r="C48" s="22" t="s">
        <v>26</v>
      </c>
      <c r="D48" s="5">
        <f>D49</f>
        <v>321752.8</v>
      </c>
      <c r="E48" s="5">
        <f>E49</f>
        <v>332718.22000000003</v>
      </c>
      <c r="F48" s="4">
        <f t="shared" si="1"/>
        <v>10965.420000000042</v>
      </c>
      <c r="G48" s="4">
        <f t="shared" si="2"/>
        <v>103.40802628601836</v>
      </c>
      <c r="H48" s="25"/>
      <c r="I48" s="1"/>
    </row>
    <row r="49" spans="1:8" ht="12.75">
      <c r="A49" s="20" t="s">
        <v>45</v>
      </c>
      <c r="B49" s="22" t="s">
        <v>70</v>
      </c>
      <c r="C49" s="22" t="s">
        <v>26</v>
      </c>
      <c r="D49" s="5">
        <f>SUM(D50:D54)+D60</f>
        <v>321752.8</v>
      </c>
      <c r="E49" s="5">
        <f>SUM(E50:E54)+E60</f>
        <v>332718.22000000003</v>
      </c>
      <c r="F49" s="4">
        <f t="shared" si="1"/>
        <v>10965.420000000042</v>
      </c>
      <c r="G49" s="4">
        <f t="shared" si="2"/>
        <v>103.40802628601836</v>
      </c>
      <c r="H49" s="25"/>
    </row>
    <row r="50" spans="1:9" ht="12.75">
      <c r="A50" s="51" t="s">
        <v>46</v>
      </c>
      <c r="B50" s="52" t="s">
        <v>71</v>
      </c>
      <c r="C50" s="22" t="s">
        <v>26</v>
      </c>
      <c r="D50" s="4">
        <v>222730.4</v>
      </c>
      <c r="E50" s="4">
        <f>234679-11948.6</f>
        <v>222730.4</v>
      </c>
      <c r="F50" s="4">
        <f>E50-D50</f>
        <v>0</v>
      </c>
      <c r="G50" s="4">
        <f t="shared" si="2"/>
        <v>100</v>
      </c>
      <c r="H50" s="53"/>
      <c r="I50">
        <v>-22375</v>
      </c>
    </row>
    <row r="51" spans="1:13" ht="12.75">
      <c r="A51" s="51" t="s">
        <v>114</v>
      </c>
      <c r="B51" s="52" t="s">
        <v>5</v>
      </c>
      <c r="C51" s="22" t="s">
        <v>26</v>
      </c>
      <c r="D51" s="4">
        <v>22050.3</v>
      </c>
      <c r="E51" s="4">
        <f>24080.7-2030.4</f>
        <v>22050.3</v>
      </c>
      <c r="F51" s="4">
        <f t="shared" si="1"/>
        <v>0</v>
      </c>
      <c r="G51" s="4">
        <f t="shared" si="2"/>
        <v>100</v>
      </c>
      <c r="H51" s="53"/>
      <c r="I51" s="54">
        <v>-3836.8</v>
      </c>
      <c r="J51">
        <v>-5741</v>
      </c>
      <c r="K51">
        <v>3389</v>
      </c>
      <c r="L51">
        <v>1156</v>
      </c>
      <c r="M51">
        <v>1196</v>
      </c>
    </row>
    <row r="52" spans="1:9" ht="12.75">
      <c r="A52" s="51" t="s">
        <v>47</v>
      </c>
      <c r="B52" s="52" t="s">
        <v>148</v>
      </c>
      <c r="C52" s="22" t="s">
        <v>26</v>
      </c>
      <c r="D52" s="4"/>
      <c r="E52" s="4">
        <v>923</v>
      </c>
      <c r="F52" s="4">
        <f t="shared" si="1"/>
        <v>923</v>
      </c>
      <c r="G52" s="4"/>
      <c r="H52" s="25"/>
      <c r="I52" s="2">
        <f>E39+E41+E42+E43+E44+E45+E46+E56+E58+E59+E61+E62+E64+E65+E67+E68+E69+E70+E73+E74+E72</f>
        <v>48319.1</v>
      </c>
    </row>
    <row r="53" spans="1:9" ht="12.75">
      <c r="A53" s="55" t="s">
        <v>47</v>
      </c>
      <c r="B53" s="56" t="s">
        <v>63</v>
      </c>
      <c r="C53" s="16" t="s">
        <v>26</v>
      </c>
      <c r="D53" s="17">
        <v>27879.1</v>
      </c>
      <c r="E53" s="17">
        <f>36181.3-947.5</f>
        <v>35233.8</v>
      </c>
      <c r="F53" s="43">
        <f t="shared" si="1"/>
        <v>7354.700000000004</v>
      </c>
      <c r="G53" s="43">
        <f t="shared" si="2"/>
        <v>126.38069378136312</v>
      </c>
      <c r="H53" s="36" t="s">
        <v>115</v>
      </c>
      <c r="I53" s="1"/>
    </row>
    <row r="54" spans="1:9" ht="12.75">
      <c r="A54" s="51">
        <v>7</v>
      </c>
      <c r="B54" s="52" t="s">
        <v>116</v>
      </c>
      <c r="C54" s="22" t="s">
        <v>26</v>
      </c>
      <c r="D54" s="5">
        <f>D55+D56+D57+D58+D59</f>
        <v>27021.5</v>
      </c>
      <c r="E54" s="5">
        <f>E55+E56+E57+E58+E59</f>
        <v>29068.5</v>
      </c>
      <c r="F54" s="4">
        <f>E54-D54</f>
        <v>2047</v>
      </c>
      <c r="G54" s="4">
        <f>E54/D54*100</f>
        <v>107.57544917935718</v>
      </c>
      <c r="H54" s="25" t="s">
        <v>111</v>
      </c>
      <c r="I54" s="1"/>
    </row>
    <row r="55" spans="1:13" ht="12.75">
      <c r="A55" s="51" t="s">
        <v>117</v>
      </c>
      <c r="B55" s="52" t="s">
        <v>11</v>
      </c>
      <c r="C55" s="22" t="s">
        <v>26</v>
      </c>
      <c r="D55" s="4">
        <v>10137</v>
      </c>
      <c r="E55" s="4">
        <f>6210+1050.8+900+1900+76.2</f>
        <v>10137</v>
      </c>
      <c r="F55" s="4">
        <f t="shared" si="1"/>
        <v>0</v>
      </c>
      <c r="G55" s="4">
        <f t="shared" si="2"/>
        <v>100</v>
      </c>
      <c r="H55" s="25"/>
      <c r="I55" s="1">
        <v>-3758</v>
      </c>
      <c r="J55" s="57">
        <v>-1666</v>
      </c>
      <c r="K55">
        <v>2092.4</v>
      </c>
      <c r="L55" s="58">
        <v>-914.5</v>
      </c>
      <c r="M55" s="59">
        <v>1177.9</v>
      </c>
    </row>
    <row r="56" spans="1:9" ht="12.75" hidden="1">
      <c r="A56" s="51"/>
      <c r="B56" s="52" t="s">
        <v>61</v>
      </c>
      <c r="C56" s="22" t="s">
        <v>26</v>
      </c>
      <c r="D56" s="4"/>
      <c r="E56" s="4"/>
      <c r="F56" s="4">
        <f t="shared" si="1"/>
        <v>0</v>
      </c>
      <c r="G56" s="4" t="e">
        <f t="shared" si="2"/>
        <v>#DIV/0!</v>
      </c>
      <c r="H56" s="25"/>
      <c r="I56" s="60">
        <v>295</v>
      </c>
    </row>
    <row r="57" spans="1:8" ht="12.75">
      <c r="A57" s="51" t="s">
        <v>118</v>
      </c>
      <c r="B57" s="52" t="s">
        <v>50</v>
      </c>
      <c r="C57" s="22" t="s">
        <v>26</v>
      </c>
      <c r="D57" s="4">
        <v>10005.7</v>
      </c>
      <c r="E57" s="4">
        <f>11206.7-1105</f>
        <v>10101.7</v>
      </c>
      <c r="F57" s="4">
        <f t="shared" si="1"/>
        <v>96</v>
      </c>
      <c r="G57" s="4">
        <f t="shared" si="2"/>
        <v>100.95945311172632</v>
      </c>
      <c r="H57" s="25" t="s">
        <v>111</v>
      </c>
    </row>
    <row r="58" spans="1:8" ht="12.75">
      <c r="A58" s="51" t="s">
        <v>119</v>
      </c>
      <c r="B58" s="52" t="s">
        <v>84</v>
      </c>
      <c r="C58" s="22" t="s">
        <v>26</v>
      </c>
      <c r="D58" s="4">
        <v>3119.5</v>
      </c>
      <c r="E58" s="4">
        <f>2398+700+200-130.6</f>
        <v>3167.4</v>
      </c>
      <c r="F58" s="4">
        <f t="shared" si="1"/>
        <v>47.90000000000009</v>
      </c>
      <c r="G58" s="4">
        <f t="shared" si="2"/>
        <v>101.53550248437251</v>
      </c>
      <c r="H58" s="25" t="s">
        <v>111</v>
      </c>
    </row>
    <row r="59" spans="1:11" ht="12.75">
      <c r="A59" s="51" t="s">
        <v>120</v>
      </c>
      <c r="B59" s="52" t="s">
        <v>56</v>
      </c>
      <c r="C59" s="22" t="s">
        <v>26</v>
      </c>
      <c r="D59" s="4">
        <v>3759.3</v>
      </c>
      <c r="E59" s="4">
        <f>5662.4</f>
        <v>5662.4</v>
      </c>
      <c r="F59" s="4">
        <f t="shared" si="1"/>
        <v>1903.0999999999995</v>
      </c>
      <c r="G59" s="4">
        <f t="shared" si="2"/>
        <v>150.62378634320217</v>
      </c>
      <c r="H59" s="25" t="s">
        <v>111</v>
      </c>
      <c r="K59" s="61" t="e">
        <f>E32+E47+E55+#REF!+#REF!</f>
        <v>#REF!</v>
      </c>
    </row>
    <row r="60" spans="1:11" ht="12.75">
      <c r="A60" s="62">
        <v>8</v>
      </c>
      <c r="B60" s="21" t="s">
        <v>72</v>
      </c>
      <c r="C60" s="22" t="s">
        <v>26</v>
      </c>
      <c r="D60" s="5">
        <f>SUM(D61:D74)</f>
        <v>22071.499999999996</v>
      </c>
      <c r="E60" s="5">
        <f>SUM(E61:E74)</f>
        <v>22712.220000000005</v>
      </c>
      <c r="F60" s="5">
        <f t="shared" si="1"/>
        <v>640.7200000000084</v>
      </c>
      <c r="G60" s="5">
        <f t="shared" si="2"/>
        <v>102.90292911673428</v>
      </c>
      <c r="H60" s="25"/>
      <c r="K60" s="63">
        <v>40134</v>
      </c>
    </row>
    <row r="61" spans="1:11" ht="12.75">
      <c r="A61" s="20" t="s">
        <v>121</v>
      </c>
      <c r="B61" s="52" t="s">
        <v>53</v>
      </c>
      <c r="C61" s="22" t="s">
        <v>26</v>
      </c>
      <c r="D61" s="4">
        <v>7212.9</v>
      </c>
      <c r="E61" s="4">
        <f>5464.3+1105+330+300+14+18.7</f>
        <v>7232</v>
      </c>
      <c r="F61" s="4">
        <f t="shared" si="1"/>
        <v>19.100000000000364</v>
      </c>
      <c r="G61" s="4">
        <f t="shared" si="2"/>
        <v>100.26480333846304</v>
      </c>
      <c r="H61" s="25"/>
      <c r="I61" s="64">
        <v>1748</v>
      </c>
      <c r="K61" s="61" t="e">
        <f>K60-K59</f>
        <v>#REF!</v>
      </c>
    </row>
    <row r="62" spans="1:9" ht="12.75">
      <c r="A62" s="20" t="s">
        <v>122</v>
      </c>
      <c r="B62" s="52" t="s">
        <v>54</v>
      </c>
      <c r="C62" s="22" t="s">
        <v>26</v>
      </c>
      <c r="D62" s="4">
        <v>4440</v>
      </c>
      <c r="E62" s="4">
        <v>4972.8</v>
      </c>
      <c r="F62" s="4">
        <f t="shared" si="1"/>
        <v>532.8000000000002</v>
      </c>
      <c r="G62" s="4">
        <f t="shared" si="2"/>
        <v>112.00000000000001</v>
      </c>
      <c r="H62" s="25" t="s">
        <v>111</v>
      </c>
      <c r="I62" s="65">
        <v>-532.8</v>
      </c>
    </row>
    <row r="63" spans="1:11" ht="12.75">
      <c r="A63" s="20" t="s">
        <v>123</v>
      </c>
      <c r="B63" s="52" t="s">
        <v>73</v>
      </c>
      <c r="C63" s="22" t="s">
        <v>26</v>
      </c>
      <c r="D63" s="4">
        <v>2000</v>
      </c>
      <c r="E63" s="4">
        <f>2527.3-454-69.68</f>
        <v>2003.6200000000001</v>
      </c>
      <c r="F63" s="4">
        <f t="shared" si="1"/>
        <v>3.6200000000001182</v>
      </c>
      <c r="G63" s="4">
        <f t="shared" si="2"/>
        <v>100.18100000000001</v>
      </c>
      <c r="H63" s="36"/>
      <c r="I63">
        <v>-640</v>
      </c>
      <c r="J63" s="66">
        <v>-295</v>
      </c>
      <c r="K63" s="67">
        <v>345</v>
      </c>
    </row>
    <row r="64" spans="1:9" ht="12.75">
      <c r="A64" s="20" t="s">
        <v>124</v>
      </c>
      <c r="B64" s="52" t="s">
        <v>48</v>
      </c>
      <c r="C64" s="22" t="s">
        <v>26</v>
      </c>
      <c r="D64" s="4">
        <v>1000</v>
      </c>
      <c r="E64" s="4">
        <f>1586-282-300+46</f>
        <v>1050</v>
      </c>
      <c r="F64" s="4">
        <f t="shared" si="1"/>
        <v>50</v>
      </c>
      <c r="G64" s="4">
        <f t="shared" si="2"/>
        <v>105</v>
      </c>
      <c r="H64" s="25" t="s">
        <v>111</v>
      </c>
      <c r="I64" s="65">
        <v>532.8</v>
      </c>
    </row>
    <row r="65" spans="1:9" ht="12.75">
      <c r="A65" s="20" t="s">
        <v>125</v>
      </c>
      <c r="B65" s="52" t="s">
        <v>74</v>
      </c>
      <c r="C65" s="22" t="s">
        <v>26</v>
      </c>
      <c r="D65" s="4">
        <v>1160.1</v>
      </c>
      <c r="E65" s="4">
        <f>878+282-4-0.2</f>
        <v>1155.8</v>
      </c>
      <c r="F65" s="4">
        <f t="shared" si="1"/>
        <v>-4.2999999999999545</v>
      </c>
      <c r="G65" s="4">
        <f t="shared" si="2"/>
        <v>99.62934229807776</v>
      </c>
      <c r="H65" s="91"/>
      <c r="I65">
        <v>-135</v>
      </c>
    </row>
    <row r="66" spans="1:8" ht="12.75" hidden="1">
      <c r="A66" s="20" t="s">
        <v>126</v>
      </c>
      <c r="B66" s="52" t="s">
        <v>67</v>
      </c>
      <c r="C66" s="22" t="s">
        <v>26</v>
      </c>
      <c r="D66" s="4"/>
      <c r="E66" s="4"/>
      <c r="F66" s="4">
        <f t="shared" si="1"/>
        <v>0</v>
      </c>
      <c r="G66" s="4" t="e">
        <f t="shared" si="2"/>
        <v>#DIV/0!</v>
      </c>
      <c r="H66" s="25"/>
    </row>
    <row r="67" spans="1:9" ht="12.75">
      <c r="A67" s="20" t="s">
        <v>127</v>
      </c>
      <c r="B67" s="52" t="s">
        <v>75</v>
      </c>
      <c r="C67" s="22" t="s">
        <v>26</v>
      </c>
      <c r="D67" s="4">
        <v>718.5</v>
      </c>
      <c r="E67" s="4">
        <f>788.9-68.7</f>
        <v>720.1999999999999</v>
      </c>
      <c r="F67" s="4">
        <f t="shared" si="1"/>
        <v>1.6999999999999318</v>
      </c>
      <c r="G67" s="4">
        <f t="shared" si="2"/>
        <v>100.23660403618648</v>
      </c>
      <c r="H67" s="25" t="s">
        <v>111</v>
      </c>
      <c r="I67" s="67">
        <v>113.6</v>
      </c>
    </row>
    <row r="68" spans="1:9" ht="12.75">
      <c r="A68" s="20" t="s">
        <v>128</v>
      </c>
      <c r="B68" s="52" t="s">
        <v>76</v>
      </c>
      <c r="C68" s="22" t="s">
        <v>26</v>
      </c>
      <c r="D68" s="4">
        <v>937.3</v>
      </c>
      <c r="E68" s="4">
        <f>929+8.3-0.1</f>
        <v>937.1999999999999</v>
      </c>
      <c r="F68" s="4">
        <f t="shared" si="1"/>
        <v>-0.10000000000002274</v>
      </c>
      <c r="G68" s="4">
        <f t="shared" si="2"/>
        <v>99.98933105729222</v>
      </c>
      <c r="H68" s="25"/>
      <c r="I68" s="67">
        <v>231</v>
      </c>
    </row>
    <row r="69" spans="1:9" ht="12.75">
      <c r="A69" s="20" t="s">
        <v>129</v>
      </c>
      <c r="B69" s="52" t="s">
        <v>82</v>
      </c>
      <c r="C69" s="22" t="s">
        <v>26</v>
      </c>
      <c r="D69" s="4">
        <v>81.8</v>
      </c>
      <c r="E69" s="4">
        <f>93.7-11</f>
        <v>82.7</v>
      </c>
      <c r="F69" s="4">
        <f t="shared" si="1"/>
        <v>0.9000000000000057</v>
      </c>
      <c r="G69" s="4">
        <f t="shared" si="2"/>
        <v>101.1002444987775</v>
      </c>
      <c r="H69" s="25" t="s">
        <v>111</v>
      </c>
      <c r="I69" s="46">
        <v>6.8</v>
      </c>
    </row>
    <row r="70" spans="1:9" ht="12.75">
      <c r="A70" s="20" t="s">
        <v>130</v>
      </c>
      <c r="B70" s="52" t="s">
        <v>12</v>
      </c>
      <c r="C70" s="22" t="s">
        <v>26</v>
      </c>
      <c r="D70" s="4">
        <v>1504</v>
      </c>
      <c r="E70" s="4">
        <f>1208+290+6+8</f>
        <v>1512</v>
      </c>
      <c r="F70" s="4">
        <f t="shared" si="1"/>
        <v>8</v>
      </c>
      <c r="G70" s="4">
        <f t="shared" si="2"/>
        <v>100.53191489361701</v>
      </c>
      <c r="H70" s="30"/>
      <c r="I70" s="46">
        <v>391</v>
      </c>
    </row>
    <row r="71" spans="1:17" ht="12.75">
      <c r="A71" s="20" t="s">
        <v>131</v>
      </c>
      <c r="B71" s="52" t="s">
        <v>15</v>
      </c>
      <c r="C71" s="22" t="s">
        <v>26</v>
      </c>
      <c r="D71" s="4">
        <v>720.3</v>
      </c>
      <c r="E71" s="4">
        <f>1052.9-330+7</f>
        <v>729.9000000000001</v>
      </c>
      <c r="F71" s="4">
        <f t="shared" si="1"/>
        <v>9.600000000000136</v>
      </c>
      <c r="G71" s="4">
        <f t="shared" si="2"/>
        <v>101.33277800916287</v>
      </c>
      <c r="H71" s="25" t="s">
        <v>111</v>
      </c>
      <c r="Q71" s="2"/>
    </row>
    <row r="72" spans="1:9" ht="15.75" customHeight="1" hidden="1" outlineLevel="1">
      <c r="A72" s="20" t="s">
        <v>132</v>
      </c>
      <c r="B72" s="52" t="s">
        <v>77</v>
      </c>
      <c r="C72" s="22" t="s">
        <v>26</v>
      </c>
      <c r="D72" s="4"/>
      <c r="E72" s="4"/>
      <c r="F72" s="4">
        <f t="shared" si="1"/>
        <v>0</v>
      </c>
      <c r="G72" s="4" t="e">
        <f t="shared" si="2"/>
        <v>#DIV/0!</v>
      </c>
      <c r="H72" s="25" t="s">
        <v>111</v>
      </c>
      <c r="I72" s="68">
        <v>-3750</v>
      </c>
    </row>
    <row r="73" spans="1:9" ht="12.75" collapsed="1">
      <c r="A73" s="20" t="s">
        <v>133</v>
      </c>
      <c r="B73" s="52" t="s">
        <v>78</v>
      </c>
      <c r="C73" s="22" t="s">
        <v>26</v>
      </c>
      <c r="D73" s="4">
        <v>99.6</v>
      </c>
      <c r="E73" s="4">
        <v>119</v>
      </c>
      <c r="F73" s="4">
        <f t="shared" si="1"/>
        <v>19.400000000000006</v>
      </c>
      <c r="G73" s="4">
        <f t="shared" si="2"/>
        <v>119.47791164658635</v>
      </c>
      <c r="H73" s="25" t="s">
        <v>111</v>
      </c>
      <c r="I73" s="69"/>
    </row>
    <row r="74" spans="1:9" ht="18.75" customHeight="1">
      <c r="A74" s="20" t="s">
        <v>134</v>
      </c>
      <c r="B74" s="52" t="s">
        <v>79</v>
      </c>
      <c r="C74" s="22" t="s">
        <v>26</v>
      </c>
      <c r="D74" s="4">
        <v>2197</v>
      </c>
      <c r="E74" s="4">
        <f>1938.4+93.8+164+0.8</f>
        <v>2197</v>
      </c>
      <c r="F74" s="4">
        <f t="shared" si="1"/>
        <v>0</v>
      </c>
      <c r="G74" s="4">
        <f t="shared" si="2"/>
        <v>100</v>
      </c>
      <c r="H74" s="25"/>
      <c r="I74" s="69">
        <v>200</v>
      </c>
    </row>
    <row r="75" spans="1:9" ht="20.25" customHeight="1">
      <c r="A75" s="20" t="s">
        <v>16</v>
      </c>
      <c r="B75" s="31" t="s">
        <v>135</v>
      </c>
      <c r="C75" s="22" t="s">
        <v>26</v>
      </c>
      <c r="D75" s="5">
        <f>D48+D18</f>
        <v>3423027.1</v>
      </c>
      <c r="E75" s="5">
        <f>E48+E18</f>
        <v>3558728.66</v>
      </c>
      <c r="F75" s="4">
        <f t="shared" si="1"/>
        <v>135701.56000000006</v>
      </c>
      <c r="G75" s="5">
        <f t="shared" si="2"/>
        <v>103.96437293762588</v>
      </c>
      <c r="H75" s="25"/>
      <c r="I75" s="1"/>
    </row>
    <row r="76" spans="1:9" ht="16.5" customHeight="1" hidden="1">
      <c r="A76" s="20" t="s">
        <v>80</v>
      </c>
      <c r="B76" s="31" t="s">
        <v>136</v>
      </c>
      <c r="C76" s="22" t="s">
        <v>26</v>
      </c>
      <c r="D76" s="5"/>
      <c r="E76" s="5">
        <f>E79*5.27</f>
        <v>3637576.3939999994</v>
      </c>
      <c r="F76" s="3">
        <f t="shared" si="1"/>
        <v>3637576.3939999994</v>
      </c>
      <c r="G76" s="74"/>
      <c r="H76" s="25"/>
      <c r="I76" s="1"/>
    </row>
    <row r="77" spans="1:9" ht="16.5" customHeight="1">
      <c r="A77" s="20"/>
      <c r="B77" s="26" t="s">
        <v>149</v>
      </c>
      <c r="C77" s="22" t="s">
        <v>26</v>
      </c>
      <c r="D77" s="5"/>
      <c r="E77" s="5">
        <f>E76-E75</f>
        <v>78847.73399999924</v>
      </c>
      <c r="F77" s="3"/>
      <c r="G77" s="74"/>
      <c r="H77" s="25"/>
      <c r="I77" s="1"/>
    </row>
    <row r="78" spans="1:9" ht="15" customHeight="1">
      <c r="A78" s="20" t="s">
        <v>81</v>
      </c>
      <c r="B78" s="101" t="s">
        <v>137</v>
      </c>
      <c r="C78" s="22" t="s">
        <v>26</v>
      </c>
      <c r="D78" s="5">
        <f>D75-D77</f>
        <v>3423027.1</v>
      </c>
      <c r="E78" s="5">
        <f>E80</f>
        <v>3637576.3939999994</v>
      </c>
      <c r="F78" s="3"/>
      <c r="G78" s="74"/>
      <c r="H78" s="25"/>
      <c r="I78" s="1"/>
    </row>
    <row r="79" spans="1:9" ht="15.75" customHeight="1">
      <c r="A79" s="112" t="s">
        <v>20</v>
      </c>
      <c r="B79" s="113" t="s">
        <v>23</v>
      </c>
      <c r="C79" s="22" t="s">
        <v>17</v>
      </c>
      <c r="D79" s="5">
        <v>648917.5</v>
      </c>
      <c r="E79" s="71">
        <v>690242.2</v>
      </c>
      <c r="F79" s="3"/>
      <c r="G79" s="74"/>
      <c r="H79" s="72"/>
      <c r="I79" s="1">
        <v>34.7</v>
      </c>
    </row>
    <row r="80" spans="1:9" ht="15" customHeight="1" hidden="1">
      <c r="A80" s="112"/>
      <c r="B80" s="113"/>
      <c r="C80" s="22" t="s">
        <v>26</v>
      </c>
      <c r="D80" s="5">
        <f>D79*5.27</f>
        <v>3419795.2249999996</v>
      </c>
      <c r="E80" s="5">
        <f>E79*5.27</f>
        <v>3637576.3939999994</v>
      </c>
      <c r="F80" s="3"/>
      <c r="G80" s="74"/>
      <c r="H80" s="72"/>
      <c r="I80" s="1"/>
    </row>
    <row r="81" spans="1:8" ht="16.5" customHeight="1" hidden="1" outlineLevel="1">
      <c r="A81" s="20"/>
      <c r="B81" s="70"/>
      <c r="C81" s="22"/>
      <c r="D81" s="6"/>
      <c r="E81" s="5">
        <f>E80-E78</f>
        <v>0</v>
      </c>
      <c r="F81" s="3"/>
      <c r="G81" s="74"/>
      <c r="H81" s="72"/>
    </row>
    <row r="82" spans="1:8" ht="15.75" customHeight="1" outlineLevel="1">
      <c r="A82" s="112" t="s">
        <v>21</v>
      </c>
      <c r="B82" s="113" t="s">
        <v>138</v>
      </c>
      <c r="C82" s="22" t="s">
        <v>17</v>
      </c>
      <c r="D82" s="5">
        <v>115882.5</v>
      </c>
      <c r="E82" s="5">
        <v>130266.413</v>
      </c>
      <c r="F82" s="3"/>
      <c r="G82" s="74"/>
      <c r="H82" s="72"/>
    </row>
    <row r="83" spans="1:8" ht="12.75">
      <c r="A83" s="112"/>
      <c r="B83" s="113"/>
      <c r="C83" s="22" t="s">
        <v>25</v>
      </c>
      <c r="D83" s="73">
        <v>15</v>
      </c>
      <c r="E83" s="74">
        <v>15</v>
      </c>
      <c r="F83" s="3"/>
      <c r="G83" s="74"/>
      <c r="H83" s="25"/>
    </row>
    <row r="84" spans="1:8" ht="19.5" customHeight="1" thickBot="1">
      <c r="A84" s="75" t="s">
        <v>22</v>
      </c>
      <c r="B84" s="76" t="s">
        <v>24</v>
      </c>
      <c r="C84" s="77" t="s">
        <v>28</v>
      </c>
      <c r="D84" s="78">
        <f>D80/D79</f>
        <v>5.27</v>
      </c>
      <c r="E84" s="78">
        <f>E80/E79</f>
        <v>5.27</v>
      </c>
      <c r="F84" s="89"/>
      <c r="G84" s="90"/>
      <c r="H84" s="79"/>
    </row>
    <row r="85" spans="1:8" ht="12.75">
      <c r="A85" s="80"/>
      <c r="B85" s="81"/>
      <c r="C85" s="81"/>
      <c r="D85" s="96"/>
      <c r="E85" s="96"/>
      <c r="F85" s="82"/>
      <c r="G85" s="81"/>
      <c r="H85" s="80"/>
    </row>
    <row r="86" spans="1:8" ht="12.75">
      <c r="A86" s="80"/>
      <c r="B86" s="81"/>
      <c r="C86" s="81"/>
      <c r="D86" s="96"/>
      <c r="E86" s="96"/>
      <c r="F86" s="82"/>
      <c r="G86" s="82"/>
      <c r="H86" s="80"/>
    </row>
    <row r="87" spans="1:8" s="83" customFormat="1" ht="22.5" customHeight="1">
      <c r="A87" s="105" t="s">
        <v>139</v>
      </c>
      <c r="B87" s="105"/>
      <c r="C87" s="105"/>
      <c r="D87" s="105"/>
      <c r="E87" s="105"/>
      <c r="F87" s="105"/>
      <c r="G87" s="105"/>
      <c r="H87" s="105"/>
    </row>
    <row r="88" spans="1:8" s="83" customFormat="1" ht="23.25" customHeight="1">
      <c r="A88" s="105" t="s">
        <v>140</v>
      </c>
      <c r="B88" s="105"/>
      <c r="C88" s="105"/>
      <c r="D88" s="105"/>
      <c r="E88" s="105"/>
      <c r="F88" s="105"/>
      <c r="G88" s="105"/>
      <c r="H88" s="105"/>
    </row>
    <row r="89" spans="1:8" s="83" customFormat="1" ht="21.75" customHeight="1">
      <c r="A89" s="105" t="s">
        <v>141</v>
      </c>
      <c r="B89" s="105"/>
      <c r="C89" s="105"/>
      <c r="D89" s="105"/>
      <c r="E89" s="105"/>
      <c r="F89" s="105"/>
      <c r="G89" s="105"/>
      <c r="H89" s="105"/>
    </row>
    <row r="90" spans="1:8" s="83" customFormat="1" ht="23.25" customHeight="1">
      <c r="A90" s="105" t="s">
        <v>142</v>
      </c>
      <c r="B90" s="105"/>
      <c r="C90" s="105"/>
      <c r="D90" s="105"/>
      <c r="E90" s="105"/>
      <c r="F90" s="105"/>
      <c r="G90" s="105"/>
      <c r="H90" s="105"/>
    </row>
    <row r="91" spans="1:8" s="83" customFormat="1" ht="21.75" customHeight="1">
      <c r="A91" s="105" t="s">
        <v>143</v>
      </c>
      <c r="B91" s="105"/>
      <c r="C91" s="105"/>
      <c r="D91" s="105"/>
      <c r="E91" s="105"/>
      <c r="F91" s="105"/>
      <c r="G91" s="105"/>
      <c r="H91" s="105"/>
    </row>
    <row r="92" spans="1:8" s="83" customFormat="1" ht="21.75" customHeight="1">
      <c r="A92" s="84"/>
      <c r="B92" s="84"/>
      <c r="C92" s="84"/>
      <c r="D92" s="97"/>
      <c r="E92" s="97"/>
      <c r="F92" s="84"/>
      <c r="G92" s="84"/>
      <c r="H92" s="84"/>
    </row>
    <row r="93" spans="1:8" s="85" customFormat="1" ht="29.25" customHeight="1">
      <c r="A93" s="102" t="s">
        <v>144</v>
      </c>
      <c r="B93" s="102"/>
      <c r="C93" s="102"/>
      <c r="D93" s="102"/>
      <c r="E93" s="102"/>
      <c r="F93" s="102"/>
      <c r="G93" s="102"/>
      <c r="H93" s="102"/>
    </row>
    <row r="94" spans="1:8" s="85" customFormat="1" ht="39.75" customHeight="1">
      <c r="A94" s="103" t="s">
        <v>145</v>
      </c>
      <c r="B94" s="103"/>
      <c r="C94" s="103"/>
      <c r="D94" s="103"/>
      <c r="E94" s="103"/>
      <c r="F94" s="103"/>
      <c r="G94" s="103"/>
      <c r="H94" s="103"/>
    </row>
    <row r="95" spans="1:8" s="83" customFormat="1" ht="18.75">
      <c r="A95" s="84" t="s">
        <v>146</v>
      </c>
      <c r="B95" s="86"/>
      <c r="C95" s="86"/>
      <c r="D95" s="98"/>
      <c r="E95" s="98"/>
      <c r="F95" s="86"/>
      <c r="G95" s="86"/>
      <c r="H95" s="86"/>
    </row>
    <row r="96" spans="1:8" s="83" customFormat="1" ht="18.75">
      <c r="A96" s="104"/>
      <c r="B96" s="105"/>
      <c r="C96" s="105"/>
      <c r="D96" s="105"/>
      <c r="E96" s="105"/>
      <c r="F96" s="105"/>
      <c r="G96" s="105"/>
      <c r="H96" s="105"/>
    </row>
    <row r="97" spans="1:8" ht="15.75">
      <c r="A97" s="87" t="s">
        <v>147</v>
      </c>
      <c r="B97" s="88"/>
      <c r="C97" s="88"/>
      <c r="D97" s="99"/>
      <c r="E97" s="99"/>
      <c r="F97" s="88"/>
      <c r="G97" s="88"/>
      <c r="H97" s="88"/>
    </row>
  </sheetData>
  <sheetProtection/>
  <mergeCells count="30">
    <mergeCell ref="G13:G16"/>
    <mergeCell ref="F1:H1"/>
    <mergeCell ref="A2:H2"/>
    <mergeCell ref="A3:H3"/>
    <mergeCell ref="A5:H5"/>
    <mergeCell ref="A7:H7"/>
    <mergeCell ref="A8:H8"/>
    <mergeCell ref="A79:A80"/>
    <mergeCell ref="B79:B80"/>
    <mergeCell ref="A82:A83"/>
    <mergeCell ref="B82:B83"/>
    <mergeCell ref="A9:H9"/>
    <mergeCell ref="A10:H10"/>
    <mergeCell ref="A11:H11"/>
    <mergeCell ref="A12:H12"/>
    <mergeCell ref="A13:A16"/>
    <mergeCell ref="B13:B16"/>
    <mergeCell ref="H13:H16"/>
    <mergeCell ref="F14:F16"/>
    <mergeCell ref="C13:C16"/>
    <mergeCell ref="D13:D16"/>
    <mergeCell ref="E13:E16"/>
    <mergeCell ref="A93:H93"/>
    <mergeCell ref="A94:H94"/>
    <mergeCell ref="A96:H96"/>
    <mergeCell ref="A87:H87"/>
    <mergeCell ref="A88:H88"/>
    <mergeCell ref="A89:H89"/>
    <mergeCell ref="A90:H90"/>
    <mergeCell ref="A91:H91"/>
  </mergeCells>
  <printOptions horizontalCentered="1"/>
  <pageMargins left="0.2" right="0.1968503937007874" top="0.1968503937007874" bottom="0.1968503937007874" header="0.1968503937007874" footer="0.1968503937007874"/>
  <pageSetup fitToHeight="0" fitToWidth="0" horizontalDpi="600" verticalDpi="600" orientation="landscape" paperSize="9" scale="67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ТАТЭК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Недушенко</dc:creator>
  <cp:keywords/>
  <dc:description/>
  <cp:lastModifiedBy>User</cp:lastModifiedBy>
  <cp:lastPrinted>2018-07-17T11:11:56Z</cp:lastPrinted>
  <dcterms:created xsi:type="dcterms:W3CDTF">2001-11-28T06:38:19Z</dcterms:created>
  <dcterms:modified xsi:type="dcterms:W3CDTF">2018-11-19T08:43:13Z</dcterms:modified>
  <cp:category/>
  <cp:version/>
  <cp:contentType/>
  <cp:contentStatus/>
</cp:coreProperties>
</file>