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0" windowWidth="9615" windowHeight="2085" tabRatio="998" activeTab="0"/>
  </bookViews>
  <sheets>
    <sheet name="испол тар смет.за 2019г  " sheetId="1" r:id="rId1"/>
  </sheets>
  <definedNames>
    <definedName name="_xlnm.Print_Area" localSheetId="0">'испол тар смет.за 2019г  '!$A$1:$G$146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8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 ОСВ 7400 прочие расходы</t>
        </r>
      </text>
    </comment>
    <comment ref="E1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1000-тоо тюф 300- тоо самрук
3600-тоо интернац
</t>
        </r>
      </text>
    </comment>
    <comment ref="D12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 ОСВ вставим</t>
        </r>
      </text>
    </comment>
  </commentList>
</comments>
</file>

<file path=xl/sharedStrings.xml><?xml version="1.0" encoding="utf-8"?>
<sst xmlns="http://schemas.openxmlformats.org/spreadsheetml/2006/main" count="297" uniqueCount="185">
  <si>
    <t>отопление и г/вс</t>
  </si>
  <si>
    <t>арендная плата</t>
  </si>
  <si>
    <t>командировочные расходы</t>
  </si>
  <si>
    <t>Расходы периода,всего</t>
  </si>
  <si>
    <t>обеспечение программы</t>
  </si>
  <si>
    <t>Прочие ФОТ Дружба</t>
  </si>
  <si>
    <t>амортизация иная</t>
  </si>
  <si>
    <t>дезобработка</t>
  </si>
  <si>
    <t>Амортизация</t>
  </si>
  <si>
    <t>ГСМ</t>
  </si>
  <si>
    <t>водоснабжение и канализация</t>
  </si>
  <si>
    <t>техосмотр автотранспорта</t>
  </si>
  <si>
    <t>возмещение ущерба</t>
  </si>
  <si>
    <t>курсовая разница</t>
  </si>
  <si>
    <t>Индекс ИТС-1</t>
  </si>
  <si>
    <t>Периодичность: годовая</t>
  </si>
  <si>
    <r>
      <rPr>
        <b/>
        <sz val="14"/>
        <color indexed="8"/>
        <rFont val="Times New Roman"/>
        <family val="1"/>
      </rPr>
      <t>Представляют:</t>
    </r>
    <r>
      <rPr>
        <sz val="14"/>
        <color indexed="8"/>
        <rFont val="Times New Roman"/>
        <family val="1"/>
      </rPr>
      <t xml:space="preserve"> АО "ТАТЭК"</t>
    </r>
  </si>
  <si>
    <r>
      <rPr>
        <b/>
        <sz val="14"/>
        <color indexed="8"/>
        <rFont val="Times New Roman"/>
        <family val="1"/>
      </rPr>
      <t>Срок предоставления</t>
    </r>
    <r>
      <rPr>
        <sz val="14"/>
        <color indexed="8"/>
        <rFont val="Times New Roman"/>
        <family val="1"/>
      </rPr>
      <t xml:space="preserve"> - ежегодно не позднее 1 мая года, следующего за отчетным периодом</t>
    </r>
  </si>
  <si>
    <t>№  п/п</t>
  </si>
  <si>
    <t>Наименование показателей</t>
  </si>
  <si>
    <t>Единицы измерения</t>
  </si>
  <si>
    <t>I.</t>
  </si>
  <si>
    <t>Затраты на производство товаров и предоставление услуг, в том числе:</t>
  </si>
  <si>
    <t>тыс.тенге</t>
  </si>
  <si>
    <t>1.</t>
  </si>
  <si>
    <t>Материальные затраты, всего</t>
  </si>
  <si>
    <t>в том числе:</t>
  </si>
  <si>
    <t>1*2</t>
  </si>
  <si>
    <t>сырье и материалы</t>
  </si>
  <si>
    <t>1*3</t>
  </si>
  <si>
    <t>1*4</t>
  </si>
  <si>
    <t>1*5</t>
  </si>
  <si>
    <t>топливо</t>
  </si>
  <si>
    <t>2.</t>
  </si>
  <si>
    <t xml:space="preserve">Затраты на оплату труда, в том числе </t>
  </si>
  <si>
    <t>2*1</t>
  </si>
  <si>
    <t>заработная плата</t>
  </si>
  <si>
    <t>2*2</t>
  </si>
  <si>
    <t>и.д</t>
  </si>
  <si>
    <t>2*3</t>
  </si>
  <si>
    <t>3.</t>
  </si>
  <si>
    <t>4.</t>
  </si>
  <si>
    <t>Ремонт, всего</t>
  </si>
  <si>
    <t>одной строкой</t>
  </si>
  <si>
    <t>рем ф</t>
  </si>
  <si>
    <t>для арема</t>
  </si>
  <si>
    <t>5.</t>
  </si>
  <si>
    <t>Прочие затраты</t>
  </si>
  <si>
    <t>5*1</t>
  </si>
  <si>
    <t>привлечение автотранспорта</t>
  </si>
  <si>
    <t>5*2</t>
  </si>
  <si>
    <t>услуги охраны труда и тех.безопасности</t>
  </si>
  <si>
    <t>1748 в вне.вед.ох</t>
  </si>
  <si>
    <t>5*3</t>
  </si>
  <si>
    <t>5*4</t>
  </si>
  <si>
    <t>5*5</t>
  </si>
  <si>
    <t>5*6</t>
  </si>
  <si>
    <t xml:space="preserve">повышение квалификации </t>
  </si>
  <si>
    <t>5*7</t>
  </si>
  <si>
    <t>обязательные   виды страхования</t>
  </si>
  <si>
    <t>5*8</t>
  </si>
  <si>
    <t>5*9</t>
  </si>
  <si>
    <t>II.</t>
  </si>
  <si>
    <t>6.</t>
  </si>
  <si>
    <t>Общие и административные расходы,в.т.ч.</t>
  </si>
  <si>
    <t>6*1</t>
  </si>
  <si>
    <t>Заработная плата администра.персонала</t>
  </si>
  <si>
    <t>6*2</t>
  </si>
  <si>
    <t>6*3</t>
  </si>
  <si>
    <t>налоговые платежи  и сборы</t>
  </si>
  <si>
    <t>прочие расходы</t>
  </si>
  <si>
    <t>7*1</t>
  </si>
  <si>
    <t>7*2</t>
  </si>
  <si>
    <t>услуги связи</t>
  </si>
  <si>
    <t>7*3</t>
  </si>
  <si>
    <t>оплата аудиторских и юр. услуг</t>
  </si>
  <si>
    <t>7*4</t>
  </si>
  <si>
    <t>услуги банка</t>
  </si>
  <si>
    <t>Другие расходы всего в том числе</t>
  </si>
  <si>
    <t>8*1</t>
  </si>
  <si>
    <t>вневедомственная охрана</t>
  </si>
  <si>
    <t>8*2</t>
  </si>
  <si>
    <t>госэнергоэкспертиза</t>
  </si>
  <si>
    <t>8*3</t>
  </si>
  <si>
    <t>канцелярские товары</t>
  </si>
  <si>
    <t>8*4</t>
  </si>
  <si>
    <t>экология</t>
  </si>
  <si>
    <t>8*5</t>
  </si>
  <si>
    <t>метрология</t>
  </si>
  <si>
    <t>8*7</t>
  </si>
  <si>
    <t>почтовая связь</t>
  </si>
  <si>
    <t>8*8</t>
  </si>
  <si>
    <t>публикация обьявлений</t>
  </si>
  <si>
    <t>8*9</t>
  </si>
  <si>
    <t>ремонт и обслуживание оргтехники,расх мат .</t>
  </si>
  <si>
    <t>8*10</t>
  </si>
  <si>
    <t>8*11</t>
  </si>
  <si>
    <t>типографские</t>
  </si>
  <si>
    <t>8*13</t>
  </si>
  <si>
    <t>8*14</t>
  </si>
  <si>
    <t>III</t>
  </si>
  <si>
    <t>Всего затрат на предоставление услуг</t>
  </si>
  <si>
    <t>IY</t>
  </si>
  <si>
    <t>Доход (РБА*СП)</t>
  </si>
  <si>
    <t>Y</t>
  </si>
  <si>
    <t>Всего доход</t>
  </si>
  <si>
    <t>YII</t>
  </si>
  <si>
    <t>Обьем оказываемых услуг реализации</t>
  </si>
  <si>
    <t>YIII</t>
  </si>
  <si>
    <r>
      <t>нормативные потери</t>
    </r>
    <r>
      <rPr>
        <sz val="10"/>
        <rFont val="Times New Roman"/>
        <family val="1"/>
      </rPr>
      <t xml:space="preserve"> </t>
    </r>
  </si>
  <si>
    <t>%</t>
  </si>
  <si>
    <t>IX</t>
  </si>
  <si>
    <t>тенге</t>
  </si>
  <si>
    <t>Доходы</t>
  </si>
  <si>
    <t>Расходы</t>
  </si>
  <si>
    <t>Прочие доходы и расходы не входящие в  исполнение тарифной сметы:</t>
  </si>
  <si>
    <t>списание реал  основных средств</t>
  </si>
  <si>
    <t>мат  на иную деятельность</t>
  </si>
  <si>
    <t>командировочные на иную деятельность</t>
  </si>
  <si>
    <t>расходы по реал.прод.и оказ.усл</t>
  </si>
  <si>
    <t>ГСМ на иную деятельность</t>
  </si>
  <si>
    <t>Членские взносы КЭА и спон.пом.на изготовл.знаков</t>
  </si>
  <si>
    <t>Доход от безвозмездно полученных активов</t>
  </si>
  <si>
    <t>Гос пошлина ,пеня и штрафы</t>
  </si>
  <si>
    <t>доплаты за спм</t>
  </si>
  <si>
    <t>аренда земельного участка</t>
  </si>
  <si>
    <t>аренда помещении,</t>
  </si>
  <si>
    <t>аренда транспорта</t>
  </si>
  <si>
    <t>обслуживание оборудования ведомост.подстан напр-ием 10/35/110Кв</t>
  </si>
  <si>
    <t>об кас аппар</t>
  </si>
  <si>
    <t>за установку РЛНД-10кВ и подключение шлейфа</t>
  </si>
  <si>
    <t>монтаж КТП 10/0,4 кВ</t>
  </si>
  <si>
    <t>З/плата по изг. Металлоизд  иной деят</t>
  </si>
  <si>
    <t>отчисление соц налога (от з/пл иной деятельности)</t>
  </si>
  <si>
    <t>замена ввода 2 проводов и 4 проводов</t>
  </si>
  <si>
    <t xml:space="preserve"> повторное подключение</t>
  </si>
  <si>
    <t>реактивная мощность</t>
  </si>
  <si>
    <t>автоуслуги (иной деят)груз  ар спец тех</t>
  </si>
  <si>
    <t>монтаж и испытание кабельной линии и воостнов</t>
  </si>
  <si>
    <t xml:space="preserve">техническое  обслуживание </t>
  </si>
  <si>
    <t>ремонт и испыт.трансформатора</t>
  </si>
  <si>
    <t>Прочие -проект.раб</t>
  </si>
  <si>
    <t>испытание защитных средств</t>
  </si>
  <si>
    <t>Строительно монтажные работы</t>
  </si>
  <si>
    <t>Испытание электрооборуд.</t>
  </si>
  <si>
    <t>Услуги столярного цеха</t>
  </si>
  <si>
    <t xml:space="preserve"> от прочих реализации </t>
  </si>
  <si>
    <t>доступ к пакету тендерной информации</t>
  </si>
  <si>
    <t>Расходы по культ мероп</t>
  </si>
  <si>
    <t>Расходы по оформ.зем.уч.</t>
  </si>
  <si>
    <t>Канцелярские  и типографские товары иная</t>
  </si>
  <si>
    <t>доход по вознограждениям</t>
  </si>
  <si>
    <t>прочие услуги</t>
  </si>
  <si>
    <t>отчисление соц налога ( иной деятельности)</t>
  </si>
  <si>
    <t>Услуги гео.геодезическая раб.иная</t>
  </si>
  <si>
    <t>Итого по разделу II</t>
  </si>
  <si>
    <t>Прибыль (+), убыток (-) по II разделу</t>
  </si>
  <si>
    <t>Общая прибыль(+) ( по разделу I и II)</t>
  </si>
  <si>
    <t>Наименование организации : АО "ТАТЭК"</t>
  </si>
  <si>
    <t>Адрес:  г.Талдыкорган ул Абылайхана 274</t>
  </si>
  <si>
    <t>Телефон : 23-33-46</t>
  </si>
  <si>
    <t>услуги  регистратора</t>
  </si>
  <si>
    <t>Замена и монтажа 1-ф,2 ф и 3 ф счетчик</t>
  </si>
  <si>
    <t>добровольное страхования</t>
  </si>
  <si>
    <t>покупные изделия(эл.энергия потери) в т.ч.</t>
  </si>
  <si>
    <t xml:space="preserve">снятие показания счетчика </t>
  </si>
  <si>
    <t>услуги по оценке</t>
  </si>
  <si>
    <t>социальный налог и социальные отчисления</t>
  </si>
  <si>
    <t>ОСМС</t>
  </si>
  <si>
    <t>необоснованно полученный доход</t>
  </si>
  <si>
    <t>Информ-консультативн.услуг.</t>
  </si>
  <si>
    <t xml:space="preserve">ФОТ ЧСД </t>
  </si>
  <si>
    <t>соц нал.</t>
  </si>
  <si>
    <t>услуги жд тупика и землеройные работы</t>
  </si>
  <si>
    <t>налоги на ин д.</t>
  </si>
  <si>
    <t>отклонение</t>
  </si>
  <si>
    <t>абсолют      (+, -;)</t>
  </si>
  <si>
    <t>относит  (%)</t>
  </si>
  <si>
    <t xml:space="preserve">Утвержденная  тарифная смета              </t>
  </si>
  <si>
    <t>Фактические  показателей тарифной сметы</t>
  </si>
  <si>
    <r>
      <rPr>
        <b/>
        <sz val="14"/>
        <color indexed="8"/>
        <rFont val="Times New Roman"/>
        <family val="1"/>
      </rPr>
      <t>Куда представляется форма:</t>
    </r>
    <r>
      <rPr>
        <sz val="14"/>
        <color indexed="8"/>
        <rFont val="Times New Roman"/>
        <family val="1"/>
      </rPr>
      <t xml:space="preserve"> Департамент Комитета по регулированию естественных монополий и защите конкуренции Министерства национальной экономики Республики Казахстан</t>
    </r>
  </si>
  <si>
    <t>Телефон исполнителя: 23-33-46 вн 437</t>
  </si>
  <si>
    <t>Исполнение тарифной сметы за   2018  г.</t>
  </si>
  <si>
    <t>Тариф за 1 кВт/ч без НДС</t>
  </si>
  <si>
    <t>тыс.кВт/ч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</si>
</sst>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00"/>
    <numFmt numFmtId="182" formatCode="#,##0.00&quot;р.&quot;"/>
    <numFmt numFmtId="183" formatCode="#,##0.0"/>
    <numFmt numFmtId="184" formatCode="#,##0.000"/>
    <numFmt numFmtId="185" formatCode="000000"/>
    <numFmt numFmtId="186" formatCode="0.0000"/>
    <numFmt numFmtId="187" formatCode="0.00000"/>
    <numFmt numFmtId="188" formatCode="0.000000"/>
    <numFmt numFmtId="189" formatCode="[$-FC19]d\ mmmm\ yyyy\ &quot;г.&quot;"/>
    <numFmt numFmtId="190" formatCode="_-* #,##0.0&quot;р.&quot;_-;\-* #,##0.0&quot;р.&quot;_-;_-* &quot;-&quot;?&quot;р.&quot;_-;_-@_-"/>
    <numFmt numFmtId="191" formatCode="#,##0.0&quot;р.&quot;"/>
    <numFmt numFmtId="192" formatCode="#,##0.0000"/>
    <numFmt numFmtId="193" formatCode="#,##0.00000"/>
    <numFmt numFmtId="194" formatCode="0.0%"/>
  </numFmts>
  <fonts count="64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33" borderId="0" xfId="0" applyFill="1" applyAlignment="1">
      <alignment/>
    </xf>
    <xf numFmtId="183" fontId="8" fillId="0" borderId="10" xfId="0" applyNumberFormat="1" applyFont="1" applyBorder="1" applyAlignment="1">
      <alignment/>
    </xf>
    <xf numFmtId="183" fontId="8" fillId="0" borderId="10" xfId="0" applyNumberFormat="1" applyFont="1" applyFill="1" applyBorder="1" applyAlignment="1">
      <alignment/>
    </xf>
    <xf numFmtId="180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left"/>
    </xf>
    <xf numFmtId="180" fontId="9" fillId="0" borderId="10" xfId="0" applyNumberFormat="1" applyFont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/>
    </xf>
    <xf numFmtId="183" fontId="10" fillId="0" borderId="10" xfId="0" applyNumberFormat="1" applyFont="1" applyBorder="1" applyAlignment="1">
      <alignment horizontal="center"/>
    </xf>
    <xf numFmtId="0" fontId="0" fillId="13" borderId="0" xfId="0" applyFill="1" applyAlignment="1">
      <alignment/>
    </xf>
    <xf numFmtId="180" fontId="8" fillId="0" borderId="10" xfId="0" applyNumberFormat="1" applyFont="1" applyFill="1" applyBorder="1" applyAlignment="1">
      <alignment horizontal="left"/>
    </xf>
    <xf numFmtId="180" fontId="9" fillId="0" borderId="10" xfId="0" applyNumberFormat="1" applyFont="1" applyBorder="1" applyAlignment="1">
      <alignment/>
    </xf>
    <xf numFmtId="0" fontId="0" fillId="16" borderId="0" xfId="0" applyFill="1" applyAlignment="1">
      <alignment/>
    </xf>
    <xf numFmtId="180" fontId="0" fillId="34" borderId="0" xfId="0" applyNumberFormat="1" applyFill="1" applyAlignment="1">
      <alignment/>
    </xf>
    <xf numFmtId="180" fontId="9" fillId="0" borderId="10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/>
    </xf>
    <xf numFmtId="180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horizontal="center" vertical="center"/>
    </xf>
    <xf numFmtId="180" fontId="0" fillId="9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/>
    </xf>
    <xf numFmtId="0" fontId="0" fillId="18" borderId="0" xfId="0" applyFill="1" applyAlignment="1">
      <alignment/>
    </xf>
    <xf numFmtId="180" fontId="0" fillId="2" borderId="0" xfId="0" applyNumberFormat="1" applyFill="1" applyAlignment="1">
      <alignment/>
    </xf>
    <xf numFmtId="180" fontId="0" fillId="11" borderId="0" xfId="0" applyNumberFormat="1" applyFill="1" applyAlignment="1">
      <alignment/>
    </xf>
    <xf numFmtId="180" fontId="0" fillId="19" borderId="0" xfId="0" applyNumberFormat="1" applyFill="1" applyAlignment="1">
      <alignment/>
    </xf>
    <xf numFmtId="0" fontId="9" fillId="0" borderId="11" xfId="0" applyFont="1" applyBorder="1" applyAlignment="1">
      <alignment horizontal="center"/>
    </xf>
    <xf numFmtId="180" fontId="8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9" fillId="0" borderId="11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left" vertic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19" borderId="0" xfId="0" applyFill="1" applyAlignment="1">
      <alignment/>
    </xf>
    <xf numFmtId="183" fontId="0" fillId="4" borderId="0" xfId="0" applyNumberFormat="1" applyFill="1" applyAlignment="1">
      <alignment/>
    </xf>
    <xf numFmtId="1" fontId="9" fillId="0" borderId="1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0" fillId="39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180" fontId="8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9" fillId="0" borderId="13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justify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180" fontId="9" fillId="0" borderId="15" xfId="0" applyNumberFormat="1" applyFont="1" applyFill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11" borderId="0" xfId="0" applyFill="1" applyAlignment="1">
      <alignment/>
    </xf>
    <xf numFmtId="0" fontId="8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right"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80" fontId="9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57" fillId="0" borderId="0" xfId="0" applyFont="1" applyAlignment="1">
      <alignment horizontal="justify" vertical="top"/>
    </xf>
    <xf numFmtId="0" fontId="8" fillId="0" borderId="0" xfId="0" applyFont="1" applyAlignment="1">
      <alignment vertical="top"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183" fontId="9" fillId="0" borderId="0" xfId="0" applyNumberFormat="1" applyFont="1" applyBorder="1" applyAlignment="1">
      <alignment/>
    </xf>
    <xf numFmtId="183" fontId="9" fillId="0" borderId="10" xfId="0" applyNumberFormat="1" applyFont="1" applyBorder="1" applyAlignment="1">
      <alignment/>
    </xf>
    <xf numFmtId="183" fontId="9" fillId="0" borderId="13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183" fontId="8" fillId="40" borderId="10" xfId="0" applyNumberFormat="1" applyFont="1" applyFill="1" applyBorder="1" applyAlignment="1">
      <alignment horizontal="center"/>
    </xf>
    <xf numFmtId="183" fontId="9" fillId="40" borderId="10" xfId="0" applyNumberFormat="1" applyFont="1" applyFill="1" applyBorder="1" applyAlignment="1">
      <alignment horizontal="center"/>
    </xf>
    <xf numFmtId="183" fontId="9" fillId="40" borderId="10" xfId="0" applyNumberFormat="1" applyFont="1" applyFill="1" applyBorder="1" applyAlignment="1">
      <alignment horizontal="center" vertical="center"/>
    </xf>
    <xf numFmtId="183" fontId="8" fillId="40" borderId="10" xfId="0" applyNumberFormat="1" applyFont="1" applyFill="1" applyBorder="1" applyAlignment="1">
      <alignment horizontal="center" vertical="center"/>
    </xf>
    <xf numFmtId="184" fontId="9" fillId="40" borderId="10" xfId="0" applyNumberFormat="1" applyFont="1" applyFill="1" applyBorder="1" applyAlignment="1">
      <alignment horizontal="center"/>
    </xf>
    <xf numFmtId="4" fontId="8" fillId="4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0" fontId="9" fillId="0" borderId="10" xfId="0" applyNumberFormat="1" applyFont="1" applyBorder="1" applyAlignment="1">
      <alignment horizontal="justify"/>
    </xf>
    <xf numFmtId="4" fontId="8" fillId="38" borderId="10" xfId="0" applyNumberFormat="1" applyFont="1" applyFill="1" applyBorder="1" applyAlignment="1">
      <alignment horizontal="center"/>
    </xf>
    <xf numFmtId="4" fontId="9" fillId="4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/>
    </xf>
    <xf numFmtId="183" fontId="8" fillId="0" borderId="16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/>
    </xf>
    <xf numFmtId="4" fontId="58" fillId="38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4" fontId="60" fillId="38" borderId="10" xfId="0" applyNumberFormat="1" applyFont="1" applyFill="1" applyBorder="1" applyAlignment="1">
      <alignment horizontal="center"/>
    </xf>
    <xf numFmtId="4" fontId="60" fillId="19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right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/>
    </xf>
    <xf numFmtId="180" fontId="8" fillId="33" borderId="10" xfId="0" applyNumberFormat="1" applyFont="1" applyFill="1" applyBorder="1" applyAlignment="1">
      <alignment/>
    </xf>
    <xf numFmtId="2" fontId="60" fillId="33" borderId="10" xfId="0" applyNumberFormat="1" applyFont="1" applyFill="1" applyBorder="1" applyAlignment="1">
      <alignment/>
    </xf>
    <xf numFmtId="180" fontId="60" fillId="33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60" fillId="33" borderId="10" xfId="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183" fontId="60" fillId="33" borderId="10" xfId="0" applyNumberFormat="1" applyFont="1" applyFill="1" applyBorder="1" applyAlignment="1">
      <alignment horizontal="right"/>
    </xf>
    <xf numFmtId="180" fontId="8" fillId="0" borderId="13" xfId="0" applyNumberFormat="1" applyFont="1" applyBorder="1" applyAlignment="1">
      <alignment/>
    </xf>
    <xf numFmtId="183" fontId="8" fillId="0" borderId="13" xfId="0" applyNumberFormat="1" applyFont="1" applyBorder="1" applyAlignment="1">
      <alignment/>
    </xf>
    <xf numFmtId="180" fontId="60" fillId="0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top"/>
    </xf>
    <xf numFmtId="1" fontId="2" fillId="0" borderId="10" xfId="0" applyNumberFormat="1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 vertical="justify" wrapText="1"/>
    </xf>
    <xf numFmtId="1" fontId="2" fillId="0" borderId="11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3" fontId="8" fillId="0" borderId="17" xfId="0" applyNumberFormat="1" applyFont="1" applyBorder="1" applyAlignment="1">
      <alignment horizontal="center" vertical="center"/>
    </xf>
    <xf numFmtId="183" fontId="8" fillId="0" borderId="17" xfId="0" applyNumberFormat="1" applyFont="1" applyBorder="1" applyAlignment="1">
      <alignment horizontal="center"/>
    </xf>
    <xf numFmtId="183" fontId="9" fillId="0" borderId="17" xfId="0" applyNumberFormat="1" applyFont="1" applyBorder="1" applyAlignment="1">
      <alignment horizontal="center"/>
    </xf>
    <xf numFmtId="180" fontId="9" fillId="0" borderId="17" xfId="0" applyNumberFormat="1" applyFont="1" applyBorder="1" applyAlignment="1">
      <alignment horizontal="center"/>
    </xf>
    <xf numFmtId="181" fontId="9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180" fontId="9" fillId="0" borderId="18" xfId="0" applyNumberFormat="1" applyFont="1" applyBorder="1" applyAlignment="1">
      <alignment horizontal="center"/>
    </xf>
    <xf numFmtId="180" fontId="9" fillId="0" borderId="19" xfId="0" applyNumberFormat="1" applyFont="1" applyBorder="1" applyAlignment="1">
      <alignment horizontal="center" vertical="center" wrapText="1"/>
    </xf>
    <xf numFmtId="180" fontId="9" fillId="0" borderId="20" xfId="0" applyNumberFormat="1" applyFont="1" applyBorder="1" applyAlignment="1">
      <alignment horizontal="left" vertical="center" wrapText="1"/>
    </xf>
    <xf numFmtId="180" fontId="9" fillId="0" borderId="13" xfId="0" applyNumberFormat="1" applyFont="1" applyBorder="1" applyAlignment="1">
      <alignment horizontal="justify"/>
    </xf>
    <xf numFmtId="0" fontId="62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2" fontId="8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80" fontId="9" fillId="0" borderId="20" xfId="0" applyNumberFormat="1" applyFont="1" applyFill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180" fontId="9" fillId="0" borderId="21" xfId="0" applyNumberFormat="1" applyFont="1" applyBorder="1" applyAlignment="1">
      <alignment horizontal="center" vertical="center" wrapText="1"/>
    </xf>
    <xf numFmtId="180" fontId="9" fillId="0" borderId="22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180" fontId="14" fillId="0" borderId="0" xfId="0" applyNumberFormat="1" applyFont="1" applyBorder="1" applyAlignment="1">
      <alignment/>
    </xf>
    <xf numFmtId="180" fontId="9" fillId="0" borderId="23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15" fillId="0" borderId="21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="75" zoomScaleNormal="87" zoomScaleSheetLayoutView="75" zoomScalePageLayoutView="0" workbookViewId="0" topLeftCell="A1">
      <selection activeCell="E16" sqref="E16"/>
    </sheetView>
  </sheetViews>
  <sheetFormatPr defaultColWidth="9.00390625" defaultRowHeight="12.75" outlineLevelRow="1"/>
  <cols>
    <col min="2" max="2" width="41.375" style="0" customWidth="1"/>
    <col min="3" max="3" width="11.375" style="0" customWidth="1"/>
    <col min="4" max="4" width="16.00390625" style="0" customWidth="1"/>
    <col min="5" max="5" width="14.00390625" style="0" customWidth="1"/>
    <col min="6" max="6" width="12.00390625" style="0" customWidth="1"/>
    <col min="7" max="7" width="12.125" style="0" customWidth="1"/>
    <col min="8" max="8" width="14.625" style="0" hidden="1" customWidth="1"/>
    <col min="9" max="9" width="11.875" style="0" hidden="1" customWidth="1"/>
    <col min="10" max="12" width="0" style="0" hidden="1" customWidth="1"/>
    <col min="13" max="13" width="12.125" style="0" hidden="1" customWidth="1"/>
    <col min="14" max="15" width="0" style="0" hidden="1" customWidth="1"/>
    <col min="16" max="16" width="15.375" style="0" bestFit="1" customWidth="1"/>
  </cols>
  <sheetData>
    <row r="1" spans="1:7" ht="21" customHeight="1">
      <c r="A1" s="153"/>
      <c r="B1" s="153"/>
      <c r="C1" s="153"/>
      <c r="D1" s="153"/>
      <c r="E1" s="153"/>
      <c r="F1" s="153"/>
      <c r="G1" s="153"/>
    </row>
    <row r="2" spans="1:7" ht="22.5" customHeight="1">
      <c r="A2" s="196" t="s">
        <v>182</v>
      </c>
      <c r="B2" s="196"/>
      <c r="C2" s="196"/>
      <c r="D2" s="196"/>
      <c r="E2" s="196"/>
      <c r="F2" s="196"/>
      <c r="G2" s="196"/>
    </row>
    <row r="3" spans="1:7" ht="22.5" customHeight="1">
      <c r="A3" s="154"/>
      <c r="B3" s="154"/>
      <c r="C3" s="154"/>
      <c r="D3" s="154"/>
      <c r="E3" s="154"/>
      <c r="F3" s="154"/>
      <c r="G3" s="154"/>
    </row>
    <row r="4" spans="1:7" ht="20.25" customHeight="1">
      <c r="A4" s="171" t="s">
        <v>14</v>
      </c>
      <c r="B4" s="171"/>
      <c r="C4" s="171"/>
      <c r="D4" s="171"/>
      <c r="E4" s="171"/>
      <c r="F4" s="171"/>
      <c r="G4" s="171"/>
    </row>
    <row r="5" spans="1:7" ht="20.25" customHeight="1">
      <c r="A5" s="171" t="s">
        <v>15</v>
      </c>
      <c r="B5" s="171"/>
      <c r="C5" s="171"/>
      <c r="D5" s="171"/>
      <c r="E5" s="171"/>
      <c r="F5" s="171"/>
      <c r="G5" s="171"/>
    </row>
    <row r="6" spans="1:7" ht="20.25" customHeight="1">
      <c r="A6" s="187" t="s">
        <v>16</v>
      </c>
      <c r="B6" s="188"/>
      <c r="C6" s="188"/>
      <c r="D6" s="188"/>
      <c r="E6" s="188"/>
      <c r="F6" s="188"/>
      <c r="G6" s="188"/>
    </row>
    <row r="7" spans="1:7" ht="37.5" customHeight="1">
      <c r="A7" s="189" t="s">
        <v>180</v>
      </c>
      <c r="B7" s="190"/>
      <c r="C7" s="190"/>
      <c r="D7" s="190"/>
      <c r="E7" s="190"/>
      <c r="F7" s="190"/>
      <c r="G7" s="190"/>
    </row>
    <row r="8" spans="1:7" ht="21" customHeight="1">
      <c r="A8" s="188" t="s">
        <v>17</v>
      </c>
      <c r="B8" s="188"/>
      <c r="C8" s="188"/>
      <c r="D8" s="188"/>
      <c r="E8" s="188"/>
      <c r="F8" s="188"/>
      <c r="G8" s="188"/>
    </row>
    <row r="9" spans="1:7" ht="16.5" thickBot="1">
      <c r="A9" s="191"/>
      <c r="B9" s="191"/>
      <c r="C9" s="191"/>
      <c r="D9" s="191"/>
      <c r="E9" s="191"/>
      <c r="F9" s="191"/>
      <c r="G9" s="191"/>
    </row>
    <row r="10" spans="1:7" ht="32.25" customHeight="1">
      <c r="A10" s="192" t="s">
        <v>18</v>
      </c>
      <c r="B10" s="194" t="s">
        <v>19</v>
      </c>
      <c r="C10" s="183" t="s">
        <v>20</v>
      </c>
      <c r="D10" s="183" t="s">
        <v>178</v>
      </c>
      <c r="E10" s="183" t="s">
        <v>179</v>
      </c>
      <c r="F10" s="183" t="s">
        <v>175</v>
      </c>
      <c r="G10" s="184"/>
    </row>
    <row r="11" spans="1:7" ht="12.75" customHeight="1">
      <c r="A11" s="193"/>
      <c r="B11" s="195"/>
      <c r="C11" s="185"/>
      <c r="D11" s="185"/>
      <c r="E11" s="185"/>
      <c r="F11" s="185" t="s">
        <v>176</v>
      </c>
      <c r="G11" s="186" t="s">
        <v>177</v>
      </c>
    </row>
    <row r="12" spans="1:7" ht="12.75" customHeight="1">
      <c r="A12" s="193"/>
      <c r="B12" s="195"/>
      <c r="C12" s="185"/>
      <c r="D12" s="185"/>
      <c r="E12" s="185"/>
      <c r="F12" s="185"/>
      <c r="G12" s="186"/>
    </row>
    <row r="13" spans="1:7" ht="8.25" customHeight="1">
      <c r="A13" s="193"/>
      <c r="B13" s="195"/>
      <c r="C13" s="185"/>
      <c r="D13" s="185"/>
      <c r="E13" s="185"/>
      <c r="F13" s="185"/>
      <c r="G13" s="186"/>
    </row>
    <row r="14" spans="1:7" ht="12.75">
      <c r="A14" s="158">
        <v>1</v>
      </c>
      <c r="B14" s="156">
        <v>2</v>
      </c>
      <c r="C14" s="156">
        <v>3</v>
      </c>
      <c r="D14" s="156">
        <v>4</v>
      </c>
      <c r="E14" s="156">
        <v>5</v>
      </c>
      <c r="F14" s="156">
        <v>7</v>
      </c>
      <c r="G14" s="159">
        <v>6</v>
      </c>
    </row>
    <row r="15" spans="1:7" ht="34.5" customHeight="1">
      <c r="A15" s="5" t="s">
        <v>21</v>
      </c>
      <c r="B15" s="6" t="s">
        <v>22</v>
      </c>
      <c r="C15" s="7" t="s">
        <v>23</v>
      </c>
      <c r="D15" s="8">
        <f>D16+D24+D28+D29+D30</f>
        <v>3538351.8000000003</v>
      </c>
      <c r="E15" s="8">
        <f>E16+E24+E28+E29+E30</f>
        <v>3634116.6040000003</v>
      </c>
      <c r="F15" s="8">
        <f>F16+F24+F28+F29+F30</f>
        <v>95764.80399999993</v>
      </c>
      <c r="G15" s="160">
        <f>E15/D15*100</f>
        <v>102.70648057098224</v>
      </c>
    </row>
    <row r="16" spans="1:7" ht="12.75">
      <c r="A16" s="10" t="s">
        <v>24</v>
      </c>
      <c r="B16" s="11" t="s">
        <v>25</v>
      </c>
      <c r="C16" s="12" t="s">
        <v>23</v>
      </c>
      <c r="D16" s="13">
        <f>SUM(D18:D22)-D20</f>
        <v>1199063.4000000001</v>
      </c>
      <c r="E16" s="13">
        <f>SUM(E18:E22)-E20</f>
        <v>1190995.1230000001</v>
      </c>
      <c r="F16" s="14">
        <f>E16-D16</f>
        <v>-8068.277000000002</v>
      </c>
      <c r="G16" s="161">
        <f>E16/D16*100</f>
        <v>99.32711839924394</v>
      </c>
    </row>
    <row r="17" spans="1:7" ht="12.75">
      <c r="A17" s="10"/>
      <c r="B17" s="11" t="s">
        <v>26</v>
      </c>
      <c r="C17" s="12"/>
      <c r="D17" s="16"/>
      <c r="E17" s="16"/>
      <c r="F17" s="15"/>
      <c r="G17" s="161"/>
    </row>
    <row r="18" spans="1:8" ht="12.75">
      <c r="A18" s="10" t="s">
        <v>27</v>
      </c>
      <c r="B18" s="17" t="s">
        <v>28</v>
      </c>
      <c r="C18" s="12" t="s">
        <v>23</v>
      </c>
      <c r="D18" s="112">
        <v>23390.3</v>
      </c>
      <c r="E18" s="16">
        <v>31985.610999999997</v>
      </c>
      <c r="F18" s="15">
        <f>E18-D18</f>
        <v>8595.310999999998</v>
      </c>
      <c r="G18" s="161">
        <f>E18/D18*100</f>
        <v>136.74733115864268</v>
      </c>
      <c r="H18" s="19">
        <v>-16900</v>
      </c>
    </row>
    <row r="19" spans="1:8" ht="12.75">
      <c r="A19" s="10" t="s">
        <v>29</v>
      </c>
      <c r="B19" s="17" t="s">
        <v>164</v>
      </c>
      <c r="C19" s="12" t="s">
        <v>23</v>
      </c>
      <c r="D19" s="112">
        <v>1125975</v>
      </c>
      <c r="E19" s="157">
        <v>1095687.763</v>
      </c>
      <c r="F19" s="15">
        <f>E19-D19</f>
        <v>-30287.236999999965</v>
      </c>
      <c r="G19" s="161">
        <f>E19/D19*100</f>
        <v>97.31013237416461</v>
      </c>
      <c r="H19" s="19"/>
    </row>
    <row r="20" spans="1:8" ht="12.75" hidden="1">
      <c r="A20" s="10"/>
      <c r="B20" s="17"/>
      <c r="C20" s="12"/>
      <c r="D20" s="117"/>
      <c r="E20" s="119"/>
      <c r="F20" s="15"/>
      <c r="G20" s="161"/>
      <c r="H20" s="19"/>
    </row>
    <row r="21" spans="1:8" ht="12.75">
      <c r="A21" s="10" t="s">
        <v>30</v>
      </c>
      <c r="B21" s="20" t="s">
        <v>9</v>
      </c>
      <c r="C21" s="12" t="s">
        <v>23</v>
      </c>
      <c r="D21" s="112">
        <v>49698.1</v>
      </c>
      <c r="E21" s="16">
        <v>63321.749</v>
      </c>
      <c r="F21" s="15">
        <f>E21-D21</f>
        <v>13623.649000000005</v>
      </c>
      <c r="G21" s="161">
        <f>E21/D21*100</f>
        <v>127.4128165865496</v>
      </c>
      <c r="H21" s="19"/>
    </row>
    <row r="22" spans="1:10" ht="12.75" hidden="1">
      <c r="A22" s="10" t="s">
        <v>31</v>
      </c>
      <c r="B22" s="17" t="s">
        <v>32</v>
      </c>
      <c r="C22" s="12" t="s">
        <v>23</v>
      </c>
      <c r="D22" s="112"/>
      <c r="E22" s="16"/>
      <c r="F22" s="18">
        <f>E22-D22</f>
        <v>0</v>
      </c>
      <c r="G22" s="161"/>
      <c r="H22">
        <v>385.7</v>
      </c>
      <c r="I22">
        <v>135</v>
      </c>
      <c r="J22">
        <v>500</v>
      </c>
    </row>
    <row r="23" spans="1:7" ht="12.75" hidden="1">
      <c r="A23" s="10"/>
      <c r="B23" s="17"/>
      <c r="C23" s="12"/>
      <c r="D23" s="112"/>
      <c r="E23" s="16"/>
      <c r="F23" s="15">
        <f>E23-D23</f>
        <v>0</v>
      </c>
      <c r="G23" s="161" t="e">
        <f aca="true" t="shared" si="0" ref="G23:G29">E23/D23*100</f>
        <v>#DIV/0!</v>
      </c>
    </row>
    <row r="24" spans="1:9" ht="12.75">
      <c r="A24" s="10" t="s">
        <v>33</v>
      </c>
      <c r="B24" s="21" t="s">
        <v>34</v>
      </c>
      <c r="C24" s="12" t="s">
        <v>23</v>
      </c>
      <c r="D24" s="113">
        <f>D25+D26+D27</f>
        <v>1369521.3</v>
      </c>
      <c r="E24" s="13">
        <f>E25+E26+E27</f>
        <v>1377761.3159999999</v>
      </c>
      <c r="F24" s="14">
        <f>F25+F26+F27</f>
        <v>8240.015999999923</v>
      </c>
      <c r="G24" s="161">
        <f t="shared" si="0"/>
        <v>100.60167125549636</v>
      </c>
      <c r="H24" s="1"/>
      <c r="I24" s="1"/>
    </row>
    <row r="25" spans="1:16" ht="12.75">
      <c r="A25" s="10" t="s">
        <v>35</v>
      </c>
      <c r="B25" s="17" t="s">
        <v>36</v>
      </c>
      <c r="C25" s="12" t="s">
        <v>23</v>
      </c>
      <c r="D25" s="112">
        <v>1246107.3</v>
      </c>
      <c r="E25" s="16">
        <v>1251855.693</v>
      </c>
      <c r="F25" s="15">
        <f aca="true" t="shared" si="1" ref="F25:F65">E25-D25</f>
        <v>5748.392999999924</v>
      </c>
      <c r="G25" s="161">
        <f t="shared" si="0"/>
        <v>100.46130802700537</v>
      </c>
      <c r="H25" s="1">
        <v>-21413</v>
      </c>
      <c r="J25" s="22">
        <f>21413+22375-10514.8</f>
        <v>33273.2</v>
      </c>
      <c r="P25" s="130"/>
    </row>
    <row r="26" spans="1:16" ht="12.75">
      <c r="A26" s="10" t="s">
        <v>37</v>
      </c>
      <c r="B26" s="17" t="s">
        <v>167</v>
      </c>
      <c r="C26" s="12" t="s">
        <v>23</v>
      </c>
      <c r="D26" s="112">
        <v>106591.2</v>
      </c>
      <c r="E26" s="16">
        <v>108199.9</v>
      </c>
      <c r="F26" s="15">
        <f t="shared" si="1"/>
        <v>1608.699999999997</v>
      </c>
      <c r="G26" s="161">
        <f t="shared" si="0"/>
        <v>101.5092240259984</v>
      </c>
      <c r="H26" s="23">
        <v>3836.8</v>
      </c>
      <c r="J26" s="22">
        <f>5741-1156</f>
        <v>4585</v>
      </c>
      <c r="K26" s="22">
        <v>3389</v>
      </c>
      <c r="L26">
        <f>J26-K26</f>
        <v>1196</v>
      </c>
      <c r="M26" t="s">
        <v>38</v>
      </c>
      <c r="P26" s="130"/>
    </row>
    <row r="27" spans="1:7" ht="12" customHeight="1">
      <c r="A27" s="10" t="s">
        <v>39</v>
      </c>
      <c r="B27" s="17" t="s">
        <v>168</v>
      </c>
      <c r="C27" s="12" t="s">
        <v>23</v>
      </c>
      <c r="D27" s="112">
        <v>16822.8</v>
      </c>
      <c r="E27" s="16">
        <v>17705.723</v>
      </c>
      <c r="F27" s="15">
        <f t="shared" si="1"/>
        <v>882.9230000000025</v>
      </c>
      <c r="G27" s="161">
        <f t="shared" si="0"/>
        <v>105.24837125805455</v>
      </c>
    </row>
    <row r="28" spans="1:7" ht="12.75">
      <c r="A28" s="10" t="s">
        <v>40</v>
      </c>
      <c r="B28" s="21" t="s">
        <v>8</v>
      </c>
      <c r="C28" s="12" t="s">
        <v>23</v>
      </c>
      <c r="D28" s="113">
        <v>606754</v>
      </c>
      <c r="E28" s="13">
        <f>635472.909+2944.28</f>
        <v>638417.189</v>
      </c>
      <c r="F28" s="14">
        <f t="shared" si="1"/>
        <v>31663.189000000013</v>
      </c>
      <c r="G28" s="161">
        <f t="shared" si="0"/>
        <v>105.21845574977668</v>
      </c>
    </row>
    <row r="29" spans="1:16" s="26" customFormat="1" ht="21" customHeight="1">
      <c r="A29" s="5" t="s">
        <v>41</v>
      </c>
      <c r="B29" s="24" t="s">
        <v>42</v>
      </c>
      <c r="C29" s="7" t="s">
        <v>23</v>
      </c>
      <c r="D29" s="128">
        <v>283499.89999999997</v>
      </c>
      <c r="E29" s="8">
        <v>334480.932</v>
      </c>
      <c r="F29" s="25">
        <f t="shared" si="1"/>
        <v>50981.03200000001</v>
      </c>
      <c r="G29" s="160">
        <f t="shared" si="0"/>
        <v>117.9827336799766</v>
      </c>
      <c r="H29" s="26" t="s">
        <v>43</v>
      </c>
      <c r="I29" s="26" t="s">
        <v>44</v>
      </c>
      <c r="J29" s="26" t="s">
        <v>45</v>
      </c>
      <c r="P29" s="129"/>
    </row>
    <row r="30" spans="1:8" ht="18.75" customHeight="1">
      <c r="A30" s="10" t="s">
        <v>46</v>
      </c>
      <c r="B30" s="21" t="s">
        <v>47</v>
      </c>
      <c r="C30" s="12" t="s">
        <v>23</v>
      </c>
      <c r="D30" s="113">
        <f>SUM(D31:D39)</f>
        <v>79513.2</v>
      </c>
      <c r="E30" s="13">
        <f>SUM(E31:E39)</f>
        <v>92462.044</v>
      </c>
      <c r="F30" s="14">
        <f t="shared" si="1"/>
        <v>12948.843999999997</v>
      </c>
      <c r="G30" s="161">
        <f aca="true" t="shared" si="2" ref="G30:G64">E30/D30*100</f>
        <v>116.28515013859332</v>
      </c>
      <c r="H30" s="1"/>
    </row>
    <row r="31" spans="1:9" s="26" customFormat="1" ht="12.75">
      <c r="A31" s="5" t="s">
        <v>48</v>
      </c>
      <c r="B31" s="28" t="s">
        <v>49</v>
      </c>
      <c r="C31" s="7" t="s">
        <v>23</v>
      </c>
      <c r="D31" s="115">
        <v>2508</v>
      </c>
      <c r="E31" s="29">
        <v>4844.851</v>
      </c>
      <c r="F31" s="9">
        <f t="shared" si="1"/>
        <v>2336.8509999999997</v>
      </c>
      <c r="G31" s="160">
        <f t="shared" si="2"/>
        <v>193.17587719298243</v>
      </c>
      <c r="H31" s="30">
        <v>-3063.6</v>
      </c>
      <c r="I31" s="26">
        <v>45</v>
      </c>
    </row>
    <row r="32" spans="1:10" s="26" customFormat="1" ht="12.75">
      <c r="A32" s="5" t="s">
        <v>50</v>
      </c>
      <c r="B32" s="28" t="s">
        <v>51</v>
      </c>
      <c r="C32" s="7" t="s">
        <v>23</v>
      </c>
      <c r="D32" s="115">
        <v>23199</v>
      </c>
      <c r="E32" s="29">
        <v>26749.69</v>
      </c>
      <c r="F32" s="9">
        <f t="shared" si="1"/>
        <v>3550.6899999999987</v>
      </c>
      <c r="G32" s="160">
        <f t="shared" si="2"/>
        <v>115.3053579895685</v>
      </c>
      <c r="H32" s="31" t="s">
        <v>52</v>
      </c>
      <c r="I32" s="26">
        <v>-200</v>
      </c>
      <c r="J32" s="26">
        <v>-3435</v>
      </c>
    </row>
    <row r="33" spans="1:8" ht="12.75">
      <c r="A33" s="10" t="s">
        <v>53</v>
      </c>
      <c r="B33" s="17" t="s">
        <v>10</v>
      </c>
      <c r="C33" s="12" t="s">
        <v>23</v>
      </c>
      <c r="D33" s="115">
        <v>2959.8</v>
      </c>
      <c r="E33" s="29">
        <v>2973.698</v>
      </c>
      <c r="F33" s="15">
        <f t="shared" si="1"/>
        <v>13.897999999999683</v>
      </c>
      <c r="G33" s="161">
        <f t="shared" si="2"/>
        <v>100.46955875396986</v>
      </c>
      <c r="H33">
        <v>200</v>
      </c>
    </row>
    <row r="34" spans="1:8" ht="12.75">
      <c r="A34" s="10" t="s">
        <v>54</v>
      </c>
      <c r="B34" s="17" t="s">
        <v>0</v>
      </c>
      <c r="C34" s="12" t="s">
        <v>23</v>
      </c>
      <c r="D34" s="115">
        <v>10030.2</v>
      </c>
      <c r="E34" s="29">
        <v>10768.946</v>
      </c>
      <c r="F34" s="15">
        <f t="shared" si="1"/>
        <v>738.7459999999992</v>
      </c>
      <c r="G34" s="161">
        <f t="shared" si="2"/>
        <v>107.36521704452554</v>
      </c>
      <c r="H34" s="32">
        <v>-496</v>
      </c>
    </row>
    <row r="35" spans="1:9" ht="12.75">
      <c r="A35" s="10" t="s">
        <v>55</v>
      </c>
      <c r="B35" s="17" t="s">
        <v>1</v>
      </c>
      <c r="C35" s="12" t="s">
        <v>23</v>
      </c>
      <c r="D35" s="115">
        <v>3000</v>
      </c>
      <c r="E35" s="29">
        <v>3220.085</v>
      </c>
      <c r="F35" s="15">
        <f t="shared" si="1"/>
        <v>220.08500000000004</v>
      </c>
      <c r="G35" s="161">
        <f t="shared" si="2"/>
        <v>107.33616666666667</v>
      </c>
      <c r="H35" s="33">
        <v>-2616.6</v>
      </c>
      <c r="I35">
        <v>45</v>
      </c>
    </row>
    <row r="36" spans="1:8" ht="12.75">
      <c r="A36" s="10" t="s">
        <v>56</v>
      </c>
      <c r="B36" s="17" t="s">
        <v>57</v>
      </c>
      <c r="C36" s="12" t="s">
        <v>23</v>
      </c>
      <c r="D36" s="115">
        <v>1827.5</v>
      </c>
      <c r="E36" s="29">
        <v>2924.4</v>
      </c>
      <c r="F36" s="15">
        <f t="shared" si="1"/>
        <v>1096.9</v>
      </c>
      <c r="G36" s="161">
        <f t="shared" si="2"/>
        <v>160.02188782489742</v>
      </c>
      <c r="H36" s="34">
        <v>-200</v>
      </c>
    </row>
    <row r="37" spans="1:8" ht="12.75">
      <c r="A37" s="10" t="s">
        <v>58</v>
      </c>
      <c r="B37" s="17" t="s">
        <v>59</v>
      </c>
      <c r="C37" s="12" t="s">
        <v>23</v>
      </c>
      <c r="D37" s="115">
        <v>8839.7</v>
      </c>
      <c r="E37" s="29">
        <v>13373.979</v>
      </c>
      <c r="F37" s="15">
        <f t="shared" si="1"/>
        <v>4534.278999999999</v>
      </c>
      <c r="G37" s="161">
        <f t="shared" si="2"/>
        <v>151.29448963200107</v>
      </c>
      <c r="H37" s="35">
        <v>-5360</v>
      </c>
    </row>
    <row r="38" spans="1:8" ht="12.75">
      <c r="A38" s="10" t="s">
        <v>60</v>
      </c>
      <c r="B38" s="17" t="s">
        <v>7</v>
      </c>
      <c r="C38" s="12" t="s">
        <v>23</v>
      </c>
      <c r="D38" s="115">
        <v>254.1</v>
      </c>
      <c r="E38" s="29">
        <v>591.6</v>
      </c>
      <c r="F38" s="15">
        <f t="shared" si="1"/>
        <v>337.5</v>
      </c>
      <c r="G38" s="161">
        <f t="shared" si="2"/>
        <v>232.82172373081465</v>
      </c>
      <c r="H38" s="1">
        <v>-385.7</v>
      </c>
    </row>
    <row r="39" spans="1:8" ht="12.75">
      <c r="A39" s="10" t="s">
        <v>61</v>
      </c>
      <c r="B39" s="17" t="s">
        <v>2</v>
      </c>
      <c r="C39" s="12" t="s">
        <v>23</v>
      </c>
      <c r="D39" s="115">
        <v>26894.9</v>
      </c>
      <c r="E39" s="29">
        <v>27014.795</v>
      </c>
      <c r="F39" s="15">
        <f t="shared" si="1"/>
        <v>119.8949999999968</v>
      </c>
      <c r="G39" s="161">
        <f t="shared" si="2"/>
        <v>100.44579083766808</v>
      </c>
      <c r="H39" s="36">
        <v>118.3</v>
      </c>
    </row>
    <row r="40" spans="1:8" ht="12.75">
      <c r="A40" s="10" t="s">
        <v>62</v>
      </c>
      <c r="B40" s="12" t="s">
        <v>3</v>
      </c>
      <c r="C40" s="12" t="s">
        <v>23</v>
      </c>
      <c r="D40" s="113">
        <f>D41+D46+D51</f>
        <v>335461.99999999994</v>
      </c>
      <c r="E40" s="13">
        <f>E41+E46+E51</f>
        <v>342571.35</v>
      </c>
      <c r="F40" s="15">
        <f t="shared" si="1"/>
        <v>7109.350000000035</v>
      </c>
      <c r="G40" s="161">
        <f t="shared" si="2"/>
        <v>102.11927133326577</v>
      </c>
      <c r="H40" s="1"/>
    </row>
    <row r="41" spans="1:7" ht="12.75">
      <c r="A41" s="10" t="s">
        <v>63</v>
      </c>
      <c r="B41" s="12" t="s">
        <v>64</v>
      </c>
      <c r="C41" s="12" t="s">
        <v>23</v>
      </c>
      <c r="D41" s="113">
        <f>SUM(D42:D45)</f>
        <v>284321.1</v>
      </c>
      <c r="E41" s="13">
        <f>SUM(E42:E45)</f>
        <v>285459.868</v>
      </c>
      <c r="F41" s="15">
        <f t="shared" si="1"/>
        <v>1138.76800000004</v>
      </c>
      <c r="G41" s="161">
        <f t="shared" si="2"/>
        <v>100.40052180439652</v>
      </c>
    </row>
    <row r="42" spans="1:8" ht="12.75">
      <c r="A42" s="37" t="s">
        <v>65</v>
      </c>
      <c r="B42" s="38" t="s">
        <v>66</v>
      </c>
      <c r="C42" s="12" t="s">
        <v>23</v>
      </c>
      <c r="D42" s="112">
        <v>230743.8</v>
      </c>
      <c r="E42" s="16">
        <v>231318.01</v>
      </c>
      <c r="F42" s="15">
        <f t="shared" si="1"/>
        <v>574.210000000021</v>
      </c>
      <c r="G42" s="161">
        <f t="shared" si="2"/>
        <v>100.24885175679694</v>
      </c>
      <c r="H42">
        <v>-22375</v>
      </c>
    </row>
    <row r="43" spans="1:12" ht="12.75">
      <c r="A43" s="37" t="s">
        <v>67</v>
      </c>
      <c r="B43" s="17" t="s">
        <v>167</v>
      </c>
      <c r="C43" s="12" t="s">
        <v>23</v>
      </c>
      <c r="D43" s="112">
        <v>19737.6</v>
      </c>
      <c r="E43" s="16">
        <v>20019.071</v>
      </c>
      <c r="F43" s="15">
        <f t="shared" si="1"/>
        <v>281.47100000000137</v>
      </c>
      <c r="G43" s="161">
        <f t="shared" si="2"/>
        <v>101.4260649724384</v>
      </c>
      <c r="H43" s="39">
        <v>-3836.8</v>
      </c>
      <c r="I43">
        <v>-5741</v>
      </c>
      <c r="J43">
        <v>3389</v>
      </c>
      <c r="K43">
        <v>1156</v>
      </c>
      <c r="L43">
        <v>1196</v>
      </c>
    </row>
    <row r="44" spans="1:8" ht="15" customHeight="1" outlineLevel="1">
      <c r="A44" s="37" t="s">
        <v>68</v>
      </c>
      <c r="B44" s="17" t="s">
        <v>168</v>
      </c>
      <c r="C44" s="12" t="s">
        <v>23</v>
      </c>
      <c r="D44" s="112">
        <v>3111.5</v>
      </c>
      <c r="E44" s="16">
        <v>3124.787</v>
      </c>
      <c r="F44" s="15">
        <f t="shared" si="1"/>
        <v>13.286999999999807</v>
      </c>
      <c r="G44" s="161">
        <f t="shared" si="2"/>
        <v>100.42702876426159</v>
      </c>
      <c r="H44" s="27" t="e">
        <f>E31+E33+E34+E35+E36+E37+E38+#REF!+E49+E50+E52+E53+E55+E56+E57+E58+E59+E60+E62+E63+#REF!</f>
        <v>#REF!</v>
      </c>
    </row>
    <row r="45" spans="1:8" ht="12.75">
      <c r="A45" s="40" t="s">
        <v>68</v>
      </c>
      <c r="B45" s="41" t="s">
        <v>69</v>
      </c>
      <c r="C45" s="7" t="s">
        <v>23</v>
      </c>
      <c r="D45" s="114">
        <v>30728.2</v>
      </c>
      <c r="E45" s="8">
        <v>30998</v>
      </c>
      <c r="F45" s="9">
        <f t="shared" si="1"/>
        <v>269.7999999999993</v>
      </c>
      <c r="G45" s="160">
        <f t="shared" si="2"/>
        <v>100.87802084079118</v>
      </c>
      <c r="H45" s="1"/>
    </row>
    <row r="46" spans="1:16" ht="12.75">
      <c r="A46" s="37">
        <v>7</v>
      </c>
      <c r="B46" s="38" t="s">
        <v>70</v>
      </c>
      <c r="C46" s="12" t="s">
        <v>23</v>
      </c>
      <c r="D46" s="113">
        <f>D47+D48+D49+D50</f>
        <v>27156.8</v>
      </c>
      <c r="E46" s="113">
        <f>E47+E48+E49+E50</f>
        <v>31095.388999999996</v>
      </c>
      <c r="F46" s="15">
        <f t="shared" si="1"/>
        <v>3938.5889999999963</v>
      </c>
      <c r="G46" s="161">
        <f t="shared" si="2"/>
        <v>114.50314101808755</v>
      </c>
      <c r="H46" s="1"/>
      <c r="P46" s="27"/>
    </row>
    <row r="47" spans="1:12" ht="12.75">
      <c r="A47" s="37" t="s">
        <v>71</v>
      </c>
      <c r="B47" s="38" t="s">
        <v>2</v>
      </c>
      <c r="C47" s="12" t="s">
        <v>23</v>
      </c>
      <c r="D47" s="112">
        <v>10137</v>
      </c>
      <c r="E47" s="16">
        <v>10888.314999999999</v>
      </c>
      <c r="F47" s="15">
        <f t="shared" si="1"/>
        <v>751.3149999999987</v>
      </c>
      <c r="G47" s="161">
        <f t="shared" si="2"/>
        <v>107.41161093025549</v>
      </c>
      <c r="H47" s="1">
        <v>-3758</v>
      </c>
      <c r="I47" s="42">
        <v>-1666</v>
      </c>
      <c r="J47">
        <v>2092.4</v>
      </c>
      <c r="K47" s="43">
        <v>-914.5</v>
      </c>
      <c r="L47" s="44">
        <v>1177.9</v>
      </c>
    </row>
    <row r="48" spans="1:7" ht="12.75">
      <c r="A48" s="37" t="s">
        <v>72</v>
      </c>
      <c r="B48" s="38" t="s">
        <v>73</v>
      </c>
      <c r="C48" s="12" t="s">
        <v>23</v>
      </c>
      <c r="D48" s="112">
        <v>10005.7</v>
      </c>
      <c r="E48" s="16">
        <v>10534.633</v>
      </c>
      <c r="F48" s="15">
        <f t="shared" si="1"/>
        <v>528.9329999999991</v>
      </c>
      <c r="G48" s="161">
        <f t="shared" si="2"/>
        <v>105.28631679942433</v>
      </c>
    </row>
    <row r="49" spans="1:7" ht="12.75">
      <c r="A49" s="37" t="s">
        <v>74</v>
      </c>
      <c r="B49" s="38" t="s">
        <v>75</v>
      </c>
      <c r="C49" s="12" t="s">
        <v>23</v>
      </c>
      <c r="D49" s="112">
        <v>3119.5</v>
      </c>
      <c r="E49" s="16">
        <v>3385.992</v>
      </c>
      <c r="F49" s="15">
        <f t="shared" si="1"/>
        <v>266.4920000000002</v>
      </c>
      <c r="G49" s="161">
        <f t="shared" si="2"/>
        <v>108.54277929155313</v>
      </c>
    </row>
    <row r="50" spans="1:10" ht="12.75">
      <c r="A50" s="37" t="s">
        <v>76</v>
      </c>
      <c r="B50" s="38" t="s">
        <v>77</v>
      </c>
      <c r="C50" s="12" t="s">
        <v>23</v>
      </c>
      <c r="D50" s="112">
        <v>3894.6</v>
      </c>
      <c r="E50" s="16">
        <v>6286.449</v>
      </c>
      <c r="F50" s="15">
        <f t="shared" si="1"/>
        <v>2391.8489999999997</v>
      </c>
      <c r="G50" s="161">
        <f t="shared" si="2"/>
        <v>161.41449699584038</v>
      </c>
      <c r="J50" s="45" t="e">
        <f>#REF!+E39+E47+E82+E75</f>
        <v>#REF!</v>
      </c>
    </row>
    <row r="51" spans="1:10" ht="12.75">
      <c r="A51" s="46">
        <v>8</v>
      </c>
      <c r="B51" s="11" t="s">
        <v>78</v>
      </c>
      <c r="C51" s="12" t="s">
        <v>23</v>
      </c>
      <c r="D51" s="113">
        <f>SUM(D52:D63)</f>
        <v>23984.1</v>
      </c>
      <c r="E51" s="13">
        <f>SUM(E52:E63)</f>
        <v>26016.093</v>
      </c>
      <c r="F51" s="14">
        <f t="shared" si="1"/>
        <v>2031.9930000000022</v>
      </c>
      <c r="G51" s="162">
        <f t="shared" si="2"/>
        <v>108.47225036586741</v>
      </c>
      <c r="J51" s="47">
        <v>40134</v>
      </c>
    </row>
    <row r="52" spans="1:10" ht="12.75">
      <c r="A52" s="10" t="s">
        <v>79</v>
      </c>
      <c r="B52" s="38" t="s">
        <v>80</v>
      </c>
      <c r="C52" s="12" t="s">
        <v>23</v>
      </c>
      <c r="D52" s="112">
        <v>6666.4</v>
      </c>
      <c r="E52" s="16">
        <v>6666.428</v>
      </c>
      <c r="F52" s="15">
        <f t="shared" si="1"/>
        <v>0.028000000000247383</v>
      </c>
      <c r="G52" s="161">
        <f t="shared" si="2"/>
        <v>100.00042001680067</v>
      </c>
      <c r="H52" s="48">
        <v>1748</v>
      </c>
      <c r="J52" s="45" t="e">
        <f>J51-J50</f>
        <v>#REF!</v>
      </c>
    </row>
    <row r="53" spans="1:8" ht="12.75">
      <c r="A53" s="10" t="s">
        <v>81</v>
      </c>
      <c r="B53" s="38" t="s">
        <v>82</v>
      </c>
      <c r="C53" s="12" t="s">
        <v>23</v>
      </c>
      <c r="D53" s="112">
        <v>4396</v>
      </c>
      <c r="E53" s="16">
        <v>4440</v>
      </c>
      <c r="F53" s="15">
        <f t="shared" si="1"/>
        <v>44</v>
      </c>
      <c r="G53" s="161">
        <f t="shared" si="2"/>
        <v>101.00090991810737</v>
      </c>
      <c r="H53" s="2">
        <v>-532.8</v>
      </c>
    </row>
    <row r="54" spans="1:10" ht="12.75">
      <c r="A54" s="10" t="s">
        <v>83</v>
      </c>
      <c r="B54" s="38" t="s">
        <v>84</v>
      </c>
      <c r="C54" s="12" t="s">
        <v>23</v>
      </c>
      <c r="D54" s="112">
        <v>4000</v>
      </c>
      <c r="E54" s="16">
        <v>4157.796</v>
      </c>
      <c r="F54" s="15">
        <f t="shared" si="1"/>
        <v>157.79600000000028</v>
      </c>
      <c r="G54" s="161">
        <f t="shared" si="2"/>
        <v>103.9449</v>
      </c>
      <c r="H54">
        <v>-640</v>
      </c>
      <c r="I54" s="49">
        <v>-295</v>
      </c>
      <c r="J54" s="50">
        <v>345</v>
      </c>
    </row>
    <row r="55" spans="1:8" ht="12.75">
      <c r="A55" s="10" t="s">
        <v>85</v>
      </c>
      <c r="B55" s="38" t="s">
        <v>86</v>
      </c>
      <c r="C55" s="12" t="s">
        <v>23</v>
      </c>
      <c r="D55" s="112">
        <v>1000</v>
      </c>
      <c r="E55" s="16">
        <v>1194</v>
      </c>
      <c r="F55" s="15">
        <f t="shared" si="1"/>
        <v>194</v>
      </c>
      <c r="G55" s="161">
        <f t="shared" si="2"/>
        <v>119.39999999999999</v>
      </c>
      <c r="H55" s="2">
        <v>532.8</v>
      </c>
    </row>
    <row r="56" spans="1:8" ht="12.75">
      <c r="A56" s="10" t="s">
        <v>87</v>
      </c>
      <c r="B56" s="38" t="s">
        <v>88</v>
      </c>
      <c r="C56" s="12" t="s">
        <v>23</v>
      </c>
      <c r="D56" s="112">
        <v>1160.1</v>
      </c>
      <c r="E56" s="16">
        <v>1266.81</v>
      </c>
      <c r="F56" s="15">
        <f t="shared" si="1"/>
        <v>106.71000000000004</v>
      </c>
      <c r="G56" s="161">
        <f t="shared" si="2"/>
        <v>109.19834497026119</v>
      </c>
      <c r="H56">
        <v>-135</v>
      </c>
    </row>
    <row r="57" spans="1:8" ht="12.75">
      <c r="A57" s="10" t="s">
        <v>89</v>
      </c>
      <c r="B57" s="38" t="s">
        <v>90</v>
      </c>
      <c r="C57" s="12" t="s">
        <v>23</v>
      </c>
      <c r="D57" s="112">
        <v>718.5</v>
      </c>
      <c r="E57" s="16">
        <v>981.7</v>
      </c>
      <c r="F57" s="15">
        <f t="shared" si="1"/>
        <v>263.20000000000005</v>
      </c>
      <c r="G57" s="161">
        <f t="shared" si="2"/>
        <v>136.63187195546277</v>
      </c>
      <c r="H57" s="50">
        <v>113.6</v>
      </c>
    </row>
    <row r="58" spans="1:8" ht="12.75">
      <c r="A58" s="10" t="s">
        <v>91</v>
      </c>
      <c r="B58" s="38" t="s">
        <v>92</v>
      </c>
      <c r="C58" s="12" t="s">
        <v>23</v>
      </c>
      <c r="D58" s="112">
        <v>937.5</v>
      </c>
      <c r="E58" s="16">
        <v>1014.637</v>
      </c>
      <c r="F58" s="15">
        <f t="shared" si="1"/>
        <v>77.13699999999994</v>
      </c>
      <c r="G58" s="161">
        <f t="shared" si="2"/>
        <v>108.22794666666667</v>
      </c>
      <c r="H58" s="50">
        <v>231</v>
      </c>
    </row>
    <row r="59" spans="1:8" ht="12.75">
      <c r="A59" s="10" t="s">
        <v>93</v>
      </c>
      <c r="B59" s="38" t="s">
        <v>94</v>
      </c>
      <c r="C59" s="12" t="s">
        <v>23</v>
      </c>
      <c r="D59" s="112">
        <v>84.7</v>
      </c>
      <c r="E59" s="16">
        <v>99.9</v>
      </c>
      <c r="F59" s="15">
        <f t="shared" si="1"/>
        <v>15.200000000000003</v>
      </c>
      <c r="G59" s="161">
        <f t="shared" si="2"/>
        <v>117.94569067296341</v>
      </c>
      <c r="H59" s="32">
        <v>6.8</v>
      </c>
    </row>
    <row r="60" spans="1:8" ht="12.75">
      <c r="A60" s="10" t="s">
        <v>95</v>
      </c>
      <c r="B60" s="38" t="s">
        <v>11</v>
      </c>
      <c r="C60" s="12" t="s">
        <v>23</v>
      </c>
      <c r="D60" s="112">
        <v>1504</v>
      </c>
      <c r="E60" s="16">
        <v>1692.999</v>
      </c>
      <c r="F60" s="15">
        <f t="shared" si="1"/>
        <v>188.99900000000002</v>
      </c>
      <c r="G60" s="161">
        <f t="shared" si="2"/>
        <v>112.56642287234042</v>
      </c>
      <c r="H60" s="32">
        <v>391</v>
      </c>
    </row>
    <row r="61" spans="1:7" ht="12.75">
      <c r="A61" s="10" t="s">
        <v>96</v>
      </c>
      <c r="B61" s="38" t="s">
        <v>97</v>
      </c>
      <c r="C61" s="12" t="s">
        <v>23</v>
      </c>
      <c r="D61" s="112">
        <v>1220.3</v>
      </c>
      <c r="E61" s="16">
        <v>2024.997</v>
      </c>
      <c r="F61" s="15">
        <f t="shared" si="1"/>
        <v>804.6970000000001</v>
      </c>
      <c r="G61" s="161">
        <f t="shared" si="2"/>
        <v>165.94255510939934</v>
      </c>
    </row>
    <row r="62" spans="1:8" ht="12.75">
      <c r="A62" s="10" t="s">
        <v>98</v>
      </c>
      <c r="B62" s="38" t="s">
        <v>161</v>
      </c>
      <c r="C62" s="12" t="s">
        <v>23</v>
      </c>
      <c r="D62" s="112">
        <v>99.6</v>
      </c>
      <c r="E62" s="16">
        <v>122.655</v>
      </c>
      <c r="F62" s="15">
        <f t="shared" si="1"/>
        <v>23.055000000000007</v>
      </c>
      <c r="G62" s="161">
        <f t="shared" si="2"/>
        <v>123.14759036144581</v>
      </c>
      <c r="H62" s="52"/>
    </row>
    <row r="63" spans="1:8" ht="18.75" customHeight="1">
      <c r="A63" s="10" t="s">
        <v>99</v>
      </c>
      <c r="B63" s="38" t="s">
        <v>4</v>
      </c>
      <c r="C63" s="12" t="s">
        <v>23</v>
      </c>
      <c r="D63" s="112">
        <v>2197</v>
      </c>
      <c r="E63" s="16">
        <v>2354.171</v>
      </c>
      <c r="F63" s="15">
        <f t="shared" si="1"/>
        <v>157.17099999999982</v>
      </c>
      <c r="G63" s="161">
        <f t="shared" si="2"/>
        <v>107.1538916704597</v>
      </c>
      <c r="H63" s="52">
        <v>200</v>
      </c>
    </row>
    <row r="64" spans="1:8" ht="20.25" customHeight="1">
      <c r="A64" s="10" t="s">
        <v>100</v>
      </c>
      <c r="B64" s="21" t="s">
        <v>101</v>
      </c>
      <c r="C64" s="12" t="s">
        <v>23</v>
      </c>
      <c r="D64" s="113">
        <f>D40+D15</f>
        <v>3873813.8000000003</v>
      </c>
      <c r="E64" s="113">
        <f>E40+E15</f>
        <v>3976687.9540000004</v>
      </c>
      <c r="F64" s="15">
        <f t="shared" si="1"/>
        <v>102874.1540000001</v>
      </c>
      <c r="G64" s="162">
        <f t="shared" si="2"/>
        <v>102.65562980853649</v>
      </c>
      <c r="H64" s="1"/>
    </row>
    <row r="65" spans="1:8" ht="16.5" customHeight="1" hidden="1">
      <c r="A65" s="10" t="s">
        <v>102</v>
      </c>
      <c r="B65" s="21" t="s">
        <v>103</v>
      </c>
      <c r="C65" s="12" t="s">
        <v>23</v>
      </c>
      <c r="D65" s="113"/>
      <c r="E65" s="113"/>
      <c r="F65" s="53">
        <f t="shared" si="1"/>
        <v>0</v>
      </c>
      <c r="G65" s="163"/>
      <c r="H65" s="1"/>
    </row>
    <row r="66" spans="1:8" ht="18" customHeight="1">
      <c r="A66" s="10"/>
      <c r="B66" s="17" t="s">
        <v>169</v>
      </c>
      <c r="C66" s="12" t="s">
        <v>23</v>
      </c>
      <c r="D66" s="113">
        <v>5422.5</v>
      </c>
      <c r="E66" s="113"/>
      <c r="F66" s="53"/>
      <c r="G66" s="163"/>
      <c r="H66" s="1"/>
    </row>
    <row r="67" spans="1:8" ht="15" customHeight="1">
      <c r="A67" s="10" t="s">
        <v>104</v>
      </c>
      <c r="B67" s="126" t="s">
        <v>105</v>
      </c>
      <c r="C67" s="12" t="s">
        <v>23</v>
      </c>
      <c r="D67" s="113">
        <f>D64-D66</f>
        <v>3868391.3000000003</v>
      </c>
      <c r="E67" s="113">
        <v>4054189.391</v>
      </c>
      <c r="F67" s="53">
        <f>E67-D67</f>
        <v>185798.09099999955</v>
      </c>
      <c r="G67" s="165">
        <f>E67/D67*100</f>
        <v>104.80298078945631</v>
      </c>
      <c r="H67" s="1"/>
    </row>
    <row r="68" spans="1:8" ht="15.75" customHeight="1">
      <c r="A68" s="167" t="s">
        <v>106</v>
      </c>
      <c r="B68" s="168" t="s">
        <v>107</v>
      </c>
      <c r="C68" s="12" t="s">
        <v>184</v>
      </c>
      <c r="D68" s="113">
        <v>685000</v>
      </c>
      <c r="E68" s="113">
        <v>715740.25</v>
      </c>
      <c r="F68" s="53">
        <f>E68-D68</f>
        <v>30740.25</v>
      </c>
      <c r="G68" s="164">
        <f>E68/D68*100</f>
        <v>104.48762773722629</v>
      </c>
      <c r="H68" s="1">
        <v>34.7</v>
      </c>
    </row>
    <row r="69" spans="1:7" ht="15.75" customHeight="1">
      <c r="A69" s="175" t="s">
        <v>108</v>
      </c>
      <c r="B69" s="176" t="s">
        <v>109</v>
      </c>
      <c r="C69" s="12" t="s">
        <v>184</v>
      </c>
      <c r="D69" s="113">
        <v>134535.2</v>
      </c>
      <c r="E69" s="116">
        <v>133182.25</v>
      </c>
      <c r="F69" s="53"/>
      <c r="G69" s="163"/>
    </row>
    <row r="70" spans="1:7" ht="12.75">
      <c r="A70" s="175"/>
      <c r="B70" s="176"/>
      <c r="C70" s="12" t="s">
        <v>110</v>
      </c>
      <c r="D70" s="54">
        <v>14.7</v>
      </c>
      <c r="E70" s="54">
        <v>14.7</v>
      </c>
      <c r="F70" s="53"/>
      <c r="G70" s="163"/>
    </row>
    <row r="71" spans="1:7" ht="19.5" customHeight="1" thickBot="1">
      <c r="A71" s="55" t="s">
        <v>111</v>
      </c>
      <c r="B71" s="169" t="s">
        <v>183</v>
      </c>
      <c r="C71" s="56" t="s">
        <v>112</v>
      </c>
      <c r="D71" s="57">
        <f>D67/D68</f>
        <v>5.647286569343066</v>
      </c>
      <c r="E71" s="57">
        <f>E67/E68</f>
        <v>5.664330587807518</v>
      </c>
      <c r="F71" s="58"/>
      <c r="G71" s="166"/>
    </row>
    <row r="72" spans="1:7" ht="18.75" customHeight="1" hidden="1">
      <c r="A72" s="59"/>
      <c r="B72" s="60"/>
      <c r="C72" s="61"/>
      <c r="D72" s="62" t="s">
        <v>113</v>
      </c>
      <c r="E72" s="63" t="s">
        <v>114</v>
      </c>
      <c r="F72" s="64"/>
      <c r="G72" s="64"/>
    </row>
    <row r="73" spans="1:7" ht="12.75" customHeight="1" hidden="1">
      <c r="A73" s="65" t="s">
        <v>62</v>
      </c>
      <c r="B73" s="177" t="s">
        <v>115</v>
      </c>
      <c r="C73" s="179"/>
      <c r="D73" s="179"/>
      <c r="E73" s="181"/>
      <c r="F73" s="173"/>
      <c r="G73" s="173"/>
    </row>
    <row r="74" spans="1:7" ht="16.5" customHeight="1" hidden="1">
      <c r="A74" s="66"/>
      <c r="B74" s="178"/>
      <c r="C74" s="180"/>
      <c r="D74" s="180"/>
      <c r="E74" s="182"/>
      <c r="F74" s="174"/>
      <c r="G74" s="174"/>
    </row>
    <row r="75" spans="1:7" ht="12.75" hidden="1">
      <c r="A75" s="66"/>
      <c r="B75" s="67" t="s">
        <v>174</v>
      </c>
      <c r="C75" s="67" t="s">
        <v>23</v>
      </c>
      <c r="D75" s="68"/>
      <c r="E75" s="141">
        <v>7300.25</v>
      </c>
      <c r="F75" s="69"/>
      <c r="G75" s="69"/>
    </row>
    <row r="76" spans="1:9" ht="12.75" hidden="1">
      <c r="A76" s="66"/>
      <c r="B76" s="67" t="s">
        <v>171</v>
      </c>
      <c r="C76" s="67" t="s">
        <v>23</v>
      </c>
      <c r="D76" s="70"/>
      <c r="E76" s="142">
        <v>12500</v>
      </c>
      <c r="F76" s="69"/>
      <c r="G76" s="69"/>
      <c r="H76" s="51">
        <v>10514.8</v>
      </c>
      <c r="I76" s="51">
        <v>1156</v>
      </c>
    </row>
    <row r="77" spans="1:9" ht="12.75" hidden="1">
      <c r="A77" s="66"/>
      <c r="B77" s="67" t="s">
        <v>172</v>
      </c>
      <c r="C77" s="67"/>
      <c r="D77" s="70"/>
      <c r="E77" s="142">
        <v>1237.5</v>
      </c>
      <c r="F77" s="69"/>
      <c r="G77" s="69"/>
      <c r="H77" s="51"/>
      <c r="I77" s="51"/>
    </row>
    <row r="78" spans="1:8" ht="12.75" hidden="1">
      <c r="A78" s="66"/>
      <c r="B78" s="17" t="s">
        <v>59</v>
      </c>
      <c r="C78" s="67"/>
      <c r="D78" s="70"/>
      <c r="E78" s="71"/>
      <c r="F78" s="69"/>
      <c r="G78" s="69"/>
      <c r="H78" s="72">
        <v>5360</v>
      </c>
    </row>
    <row r="79" spans="1:8" ht="12.75" hidden="1">
      <c r="A79" s="66"/>
      <c r="B79" s="17" t="s">
        <v>0</v>
      </c>
      <c r="C79" s="67"/>
      <c r="D79" s="70"/>
      <c r="E79" s="105"/>
      <c r="F79" s="69"/>
      <c r="G79" s="69"/>
      <c r="H79" s="32"/>
    </row>
    <row r="80" spans="1:7" ht="12.75" hidden="1">
      <c r="A80" s="73"/>
      <c r="B80" s="67" t="s">
        <v>116</v>
      </c>
      <c r="C80" s="67" t="s">
        <v>23</v>
      </c>
      <c r="D80" s="135">
        <f>23271</f>
        <v>23271</v>
      </c>
      <c r="E80" s="151">
        <v>6883.684</v>
      </c>
      <c r="F80" s="69"/>
      <c r="G80" s="69"/>
    </row>
    <row r="81" spans="1:7" ht="12.75" hidden="1">
      <c r="A81" s="37"/>
      <c r="B81" s="74" t="s">
        <v>117</v>
      </c>
      <c r="C81" s="67" t="s">
        <v>23</v>
      </c>
      <c r="D81" s="70"/>
      <c r="E81" s="143">
        <f>153611.607+852.208</f>
        <v>154463.815</v>
      </c>
      <c r="F81" s="75"/>
      <c r="G81" s="75"/>
    </row>
    <row r="82" spans="1:10" ht="12.75" hidden="1">
      <c r="A82" s="37"/>
      <c r="B82" s="74" t="s">
        <v>118</v>
      </c>
      <c r="C82" s="67" t="s">
        <v>23</v>
      </c>
      <c r="D82" s="70"/>
      <c r="E82" s="141">
        <v>14536.368</v>
      </c>
      <c r="F82" s="75"/>
      <c r="G82" s="75"/>
      <c r="H82" s="1"/>
      <c r="I82" s="44">
        <v>118.3</v>
      </c>
      <c r="J82" s="44">
        <v>1177.9</v>
      </c>
    </row>
    <row r="83" spans="1:7" ht="12.75" hidden="1">
      <c r="A83" s="37"/>
      <c r="B83" s="74" t="s">
        <v>119</v>
      </c>
      <c r="C83" s="67" t="s">
        <v>23</v>
      </c>
      <c r="D83" s="70"/>
      <c r="E83" s="106"/>
      <c r="F83" s="75"/>
      <c r="G83" s="75"/>
    </row>
    <row r="84" spans="1:8" ht="12.75" hidden="1">
      <c r="A84" s="37"/>
      <c r="B84" s="74" t="s">
        <v>120</v>
      </c>
      <c r="C84" s="67" t="s">
        <v>23</v>
      </c>
      <c r="D84" s="111"/>
      <c r="E84" s="143">
        <v>1342.364</v>
      </c>
      <c r="F84" s="75"/>
      <c r="G84" s="75"/>
      <c r="H84" s="1"/>
    </row>
    <row r="85" spans="1:7" ht="12.75" hidden="1">
      <c r="A85" s="66"/>
      <c r="B85" s="67" t="s">
        <v>6</v>
      </c>
      <c r="C85" s="67" t="s">
        <v>23</v>
      </c>
      <c r="D85" s="70"/>
      <c r="E85" s="143">
        <v>1352.341</v>
      </c>
      <c r="F85" s="69"/>
      <c r="G85" s="69"/>
    </row>
    <row r="86" spans="1:7" ht="12.75" hidden="1">
      <c r="A86" s="66"/>
      <c r="B86" s="67" t="s">
        <v>121</v>
      </c>
      <c r="C86" s="67" t="s">
        <v>23</v>
      </c>
      <c r="D86" s="70"/>
      <c r="E86" s="144">
        <f>2366.525</f>
        <v>2366.525</v>
      </c>
      <c r="F86" s="69"/>
      <c r="G86" s="69"/>
    </row>
    <row r="87" spans="1:7" ht="12.75" hidden="1">
      <c r="A87" s="66"/>
      <c r="B87" s="67" t="s">
        <v>163</v>
      </c>
      <c r="C87" s="67" t="s">
        <v>23</v>
      </c>
      <c r="D87" s="70"/>
      <c r="E87" s="144" t="e">
        <f>#REF!</f>
        <v>#REF!</v>
      </c>
      <c r="F87" s="69"/>
      <c r="G87" s="69"/>
    </row>
    <row r="88" spans="1:7" ht="12.75" hidden="1">
      <c r="A88" s="66"/>
      <c r="B88" s="76" t="s">
        <v>122</v>
      </c>
      <c r="C88" s="67" t="s">
        <v>23</v>
      </c>
      <c r="D88" s="70"/>
      <c r="E88" s="71"/>
      <c r="F88" s="69"/>
      <c r="G88" s="69"/>
    </row>
    <row r="89" spans="1:8" ht="12.75" hidden="1">
      <c r="A89" s="66"/>
      <c r="B89" s="67" t="s">
        <v>123</v>
      </c>
      <c r="C89" s="67" t="s">
        <v>23</v>
      </c>
      <c r="D89" s="70"/>
      <c r="E89" s="145">
        <f>210.438+79.413</f>
        <v>289.851</v>
      </c>
      <c r="F89" s="69"/>
      <c r="G89" s="69"/>
      <c r="H89" s="1"/>
    </row>
    <row r="90" spans="1:8" ht="12.75" hidden="1">
      <c r="A90" s="66"/>
      <c r="B90" s="77" t="s">
        <v>124</v>
      </c>
      <c r="C90" s="67" t="s">
        <v>23</v>
      </c>
      <c r="D90" s="70"/>
      <c r="E90" s="140"/>
      <c r="F90" s="69"/>
      <c r="G90" s="69"/>
      <c r="H90" s="78"/>
    </row>
    <row r="91" spans="1:8" ht="12.75" hidden="1">
      <c r="A91" s="66"/>
      <c r="B91" s="67" t="s">
        <v>125</v>
      </c>
      <c r="C91" s="67" t="s">
        <v>23</v>
      </c>
      <c r="D91" s="127">
        <f>2640+2817.857</f>
        <v>5457.857</v>
      </c>
      <c r="E91" s="107"/>
      <c r="F91" s="69"/>
      <c r="G91" s="69"/>
      <c r="H91" s="78"/>
    </row>
    <row r="92" spans="1:8" ht="12.75" hidden="1">
      <c r="A92" s="66"/>
      <c r="B92" s="76" t="s">
        <v>126</v>
      </c>
      <c r="C92" s="67" t="s">
        <v>23</v>
      </c>
      <c r="D92" s="127">
        <f>53.571+18865.36</f>
        <v>18918.931</v>
      </c>
      <c r="E92" s="146">
        <f>1872.777+112.357</f>
        <v>1985.134</v>
      </c>
      <c r="F92" s="69"/>
      <c r="G92" s="69"/>
      <c r="H92" s="81">
        <v>2616.6</v>
      </c>
    </row>
    <row r="93" spans="1:8" ht="12.75" hidden="1">
      <c r="A93" s="66"/>
      <c r="B93" s="76" t="s">
        <v>127</v>
      </c>
      <c r="C93" s="67" t="s">
        <v>23</v>
      </c>
      <c r="D93" s="127">
        <f>415+28846.428</f>
        <v>29261.428</v>
      </c>
      <c r="E93" s="146">
        <f>1515+3406.317+4089.9</f>
        <v>9011.217</v>
      </c>
      <c r="F93" s="69"/>
      <c r="G93" s="69"/>
      <c r="H93" s="82"/>
    </row>
    <row r="94" spans="1:8" ht="12.75" hidden="1">
      <c r="A94" s="66"/>
      <c r="B94" s="67" t="s">
        <v>128</v>
      </c>
      <c r="C94" s="67" t="s">
        <v>23</v>
      </c>
      <c r="D94" s="118"/>
      <c r="E94" s="88"/>
      <c r="F94" s="84"/>
      <c r="G94" s="84"/>
      <c r="H94" s="82"/>
    </row>
    <row r="95" spans="1:8" ht="12.75" hidden="1">
      <c r="A95" s="66"/>
      <c r="B95" s="85" t="s">
        <v>129</v>
      </c>
      <c r="C95" s="67" t="s">
        <v>23</v>
      </c>
      <c r="D95" s="118"/>
      <c r="E95" s="146" t="e">
        <f>#REF!</f>
        <v>#REF!</v>
      </c>
      <c r="F95" s="77"/>
      <c r="G95" s="77"/>
      <c r="H95" s="86"/>
    </row>
    <row r="96" spans="1:8" ht="12.75" hidden="1">
      <c r="A96" s="66"/>
      <c r="B96" s="85" t="s">
        <v>130</v>
      </c>
      <c r="C96" s="67" t="s">
        <v>23</v>
      </c>
      <c r="D96" s="119"/>
      <c r="E96" s="83"/>
      <c r="F96" s="77"/>
      <c r="G96" s="77"/>
      <c r="H96" s="82"/>
    </row>
    <row r="97" spans="1:8" ht="12.75" hidden="1">
      <c r="A97" s="66"/>
      <c r="B97" s="67" t="s">
        <v>131</v>
      </c>
      <c r="C97" s="67" t="s">
        <v>23</v>
      </c>
      <c r="D97" s="119"/>
      <c r="E97" s="80"/>
      <c r="F97" s="67"/>
      <c r="G97" s="67"/>
      <c r="H97" s="82"/>
    </row>
    <row r="98" spans="1:8" ht="12.75" hidden="1">
      <c r="A98" s="66"/>
      <c r="B98" s="67" t="s">
        <v>132</v>
      </c>
      <c r="C98" s="67" t="s">
        <v>23</v>
      </c>
      <c r="D98" s="119"/>
      <c r="E98" s="146">
        <v>8233.714</v>
      </c>
      <c r="F98" s="121"/>
      <c r="G98" s="67"/>
      <c r="H98" s="86"/>
    </row>
    <row r="99" spans="1:7" ht="12.75" hidden="1">
      <c r="A99" s="66"/>
      <c r="B99" s="67" t="s">
        <v>133</v>
      </c>
      <c r="C99" s="67" t="s">
        <v>23</v>
      </c>
      <c r="D99" s="119"/>
      <c r="E99" s="148">
        <v>819.771</v>
      </c>
      <c r="F99" s="121"/>
      <c r="G99" s="67"/>
    </row>
    <row r="100" spans="1:7" ht="12.75" hidden="1">
      <c r="A100" s="66"/>
      <c r="B100" s="67" t="s">
        <v>134</v>
      </c>
      <c r="C100" s="67" t="s">
        <v>23</v>
      </c>
      <c r="D100" s="127">
        <f>1680.344+1190.82</f>
        <v>2871.1639999999998</v>
      </c>
      <c r="E100" s="85"/>
      <c r="F100" s="67"/>
      <c r="G100" s="67"/>
    </row>
    <row r="101" spans="1:8" ht="12.75" hidden="1">
      <c r="A101" s="66"/>
      <c r="B101" s="67" t="s">
        <v>162</v>
      </c>
      <c r="C101" s="67" t="s">
        <v>23</v>
      </c>
      <c r="D101" s="127">
        <f>70.614+25.227+16.057+16.791+9.482+2821.315+588.85+28.773+266.767+388.775+615.891+428.928</f>
        <v>5277.469999999999</v>
      </c>
      <c r="E101" s="85"/>
      <c r="F101" s="67"/>
      <c r="G101" s="67"/>
      <c r="H101" s="1"/>
    </row>
    <row r="102" spans="1:8" ht="12.75" hidden="1">
      <c r="A102" s="66"/>
      <c r="B102" s="87" t="s">
        <v>135</v>
      </c>
      <c r="C102" s="67" t="s">
        <v>23</v>
      </c>
      <c r="D102" s="127">
        <f>6494.75+224.303</f>
        <v>6719.053</v>
      </c>
      <c r="E102" s="85"/>
      <c r="F102" s="67"/>
      <c r="G102" s="67"/>
      <c r="H102" s="1"/>
    </row>
    <row r="103" spans="1:7" ht="12.75" hidden="1">
      <c r="A103" s="66"/>
      <c r="B103" s="67" t="s">
        <v>136</v>
      </c>
      <c r="C103" s="67" t="s">
        <v>23</v>
      </c>
      <c r="D103" s="127">
        <v>7110.538</v>
      </c>
      <c r="E103" s="83"/>
      <c r="F103" s="67"/>
      <c r="G103" s="67"/>
    </row>
    <row r="104" spans="1:7" ht="12.75" hidden="1">
      <c r="A104" s="66"/>
      <c r="B104" s="67" t="s">
        <v>137</v>
      </c>
      <c r="C104" s="67" t="s">
        <v>23</v>
      </c>
      <c r="D104" s="127">
        <f>66.071</f>
        <v>66.071</v>
      </c>
      <c r="E104" s="80"/>
      <c r="F104" s="67"/>
      <c r="G104" s="67"/>
    </row>
    <row r="105" spans="1:7" ht="12.75" hidden="1">
      <c r="A105" s="66"/>
      <c r="B105" s="67" t="s">
        <v>138</v>
      </c>
      <c r="C105" s="67" t="s">
        <v>23</v>
      </c>
      <c r="D105" s="127">
        <f>34.829+131.185+48.498+716.874+50.504+102.608+13.208+57.119+11.817</f>
        <v>1166.642</v>
      </c>
      <c r="E105" s="83"/>
      <c r="F105" s="67"/>
      <c r="G105" s="67"/>
    </row>
    <row r="106" spans="1:7" ht="12.75" hidden="1">
      <c r="A106" s="66"/>
      <c r="B106" s="76" t="s">
        <v>139</v>
      </c>
      <c r="C106" s="67" t="s">
        <v>23</v>
      </c>
      <c r="D106" s="127">
        <f>1323.773+36.01+116.757+160.035+402.767+14.175+78.174+130.635+948.555+822.359+36100.821+159299.227+124.443+271.932+406.624+381.375+147.216+10286.658</f>
        <v>211051.536</v>
      </c>
      <c r="E106" s="88"/>
      <c r="F106" s="67"/>
      <c r="G106" s="67"/>
    </row>
    <row r="107" spans="1:7" ht="12.75" hidden="1">
      <c r="A107" s="66"/>
      <c r="B107" s="76" t="s">
        <v>140</v>
      </c>
      <c r="C107" s="67" t="s">
        <v>23</v>
      </c>
      <c r="D107" s="127">
        <f>590.281+5.75+195.875+529.648</f>
        <v>1321.554</v>
      </c>
      <c r="E107" s="88"/>
      <c r="F107" s="67"/>
      <c r="G107" s="67"/>
    </row>
    <row r="108" spans="1:7" ht="12.75" hidden="1">
      <c r="A108" s="65"/>
      <c r="B108" s="67" t="s">
        <v>141</v>
      </c>
      <c r="C108" s="67" t="s">
        <v>23</v>
      </c>
      <c r="D108" s="127">
        <v>5089.221</v>
      </c>
      <c r="E108" s="83"/>
      <c r="F108" s="67"/>
      <c r="G108" s="67"/>
    </row>
    <row r="109" spans="1:7" ht="12.75" hidden="1">
      <c r="A109" s="65"/>
      <c r="B109" s="67" t="s">
        <v>142</v>
      </c>
      <c r="C109" s="67" t="s">
        <v>23</v>
      </c>
      <c r="D109" s="127">
        <f>6.735</f>
        <v>6.735</v>
      </c>
      <c r="E109" s="79"/>
      <c r="F109" s="67"/>
      <c r="G109" s="67"/>
    </row>
    <row r="110" spans="1:7" ht="12.75" hidden="1">
      <c r="A110" s="65"/>
      <c r="B110" s="67" t="s">
        <v>143</v>
      </c>
      <c r="C110" s="67" t="s">
        <v>23</v>
      </c>
      <c r="D110" s="127">
        <v>310058.501</v>
      </c>
      <c r="E110" s="138"/>
      <c r="F110" s="67"/>
      <c r="G110" s="67"/>
    </row>
    <row r="111" spans="1:7" ht="12.75" hidden="1">
      <c r="A111" s="65"/>
      <c r="B111" s="67" t="s">
        <v>144</v>
      </c>
      <c r="C111" s="67" t="s">
        <v>23</v>
      </c>
      <c r="D111" s="127">
        <f>551.849</f>
        <v>551.849</v>
      </c>
      <c r="E111" s="83"/>
      <c r="F111" s="67"/>
      <c r="G111" s="67"/>
    </row>
    <row r="112" spans="1:7" ht="12.75" hidden="1">
      <c r="A112" s="65"/>
      <c r="B112" s="67" t="s">
        <v>145</v>
      </c>
      <c r="C112" s="67" t="s">
        <v>23</v>
      </c>
      <c r="D112" s="134">
        <f>6226.853-22.51</f>
        <v>6204.343</v>
      </c>
      <c r="E112" s="83"/>
      <c r="F112" s="67"/>
      <c r="G112" s="67"/>
    </row>
    <row r="113" spans="1:7" ht="12.75" hidden="1">
      <c r="A113" s="65"/>
      <c r="B113" s="67" t="s">
        <v>57</v>
      </c>
      <c r="C113" s="67" t="s">
        <v>23</v>
      </c>
      <c r="D113" s="127">
        <f>2667.857+62.5</f>
        <v>2730.357</v>
      </c>
      <c r="E113" s="83"/>
      <c r="F113" s="67"/>
      <c r="G113" s="67"/>
    </row>
    <row r="114" spans="1:7" ht="12.75" hidden="1">
      <c r="A114" s="65"/>
      <c r="B114" s="67" t="s">
        <v>146</v>
      </c>
      <c r="C114" s="67" t="s">
        <v>23</v>
      </c>
      <c r="D114" s="136"/>
      <c r="E114" s="83"/>
      <c r="F114" s="67"/>
      <c r="G114" s="67"/>
    </row>
    <row r="115" spans="1:7" ht="12.75" hidden="1">
      <c r="A115" s="65"/>
      <c r="B115" s="67" t="s">
        <v>12</v>
      </c>
      <c r="C115" s="67" t="s">
        <v>23</v>
      </c>
      <c r="D115" s="119"/>
      <c r="E115" s="152" t="e">
        <f>#REF!</f>
        <v>#REF!</v>
      </c>
      <c r="F115" s="67"/>
      <c r="G115" s="67"/>
    </row>
    <row r="116" spans="1:7" ht="12.75" hidden="1">
      <c r="A116" s="65"/>
      <c r="B116" s="67" t="s">
        <v>147</v>
      </c>
      <c r="C116" s="67" t="s">
        <v>23</v>
      </c>
      <c r="D116" s="127">
        <v>8.705</v>
      </c>
      <c r="E116" s="83"/>
      <c r="F116" s="67"/>
      <c r="G116" s="67"/>
    </row>
    <row r="117" spans="1:8" ht="12.75" hidden="1">
      <c r="A117" s="65"/>
      <c r="B117" s="67" t="s">
        <v>148</v>
      </c>
      <c r="C117" s="67" t="s">
        <v>23</v>
      </c>
      <c r="D117" s="119"/>
      <c r="E117" s="145">
        <f>2758.728</f>
        <v>2758.728</v>
      </c>
      <c r="F117" s="67"/>
      <c r="G117" s="67"/>
      <c r="H117" s="89"/>
    </row>
    <row r="118" spans="1:8" ht="12.75" hidden="1">
      <c r="A118" s="65"/>
      <c r="B118" s="67" t="s">
        <v>149</v>
      </c>
      <c r="C118" s="67" t="s">
        <v>23</v>
      </c>
      <c r="D118" s="119"/>
      <c r="E118" s="144">
        <f>3050+4525</f>
        <v>7575</v>
      </c>
      <c r="F118" s="67"/>
      <c r="G118" s="67"/>
      <c r="H118" s="82"/>
    </row>
    <row r="119" spans="1:8" ht="12.75" hidden="1">
      <c r="A119" s="65"/>
      <c r="B119" s="132" t="s">
        <v>170</v>
      </c>
      <c r="C119" s="67" t="s">
        <v>23</v>
      </c>
      <c r="D119" s="119"/>
      <c r="E119" s="147">
        <f>3600+1300</f>
        <v>4900</v>
      </c>
      <c r="F119" s="67"/>
      <c r="G119" s="67"/>
      <c r="H119" s="82"/>
    </row>
    <row r="120" spans="1:8" ht="12.75" hidden="1">
      <c r="A120" s="65"/>
      <c r="B120" s="67" t="s">
        <v>150</v>
      </c>
      <c r="C120" s="67" t="s">
        <v>23</v>
      </c>
      <c r="D120" s="119"/>
      <c r="E120" s="144">
        <v>142.217</v>
      </c>
      <c r="F120" s="67"/>
      <c r="G120" s="67"/>
      <c r="H120" s="82"/>
    </row>
    <row r="121" spans="1:8" ht="12.75" hidden="1">
      <c r="A121" s="65"/>
      <c r="B121" s="67" t="s">
        <v>151</v>
      </c>
      <c r="C121" s="67" t="s">
        <v>23</v>
      </c>
      <c r="D121" s="137">
        <v>12885.957</v>
      </c>
      <c r="E121" s="71"/>
      <c r="F121" s="67"/>
      <c r="G121" s="67"/>
      <c r="H121" s="90" t="e">
        <f>E124+E102+E98+E90+E42+E25+E76+#REF!</f>
        <v>#REF!</v>
      </c>
    </row>
    <row r="122" spans="1:8" ht="12.75" hidden="1">
      <c r="A122" s="65"/>
      <c r="B122" s="67" t="s">
        <v>165</v>
      </c>
      <c r="C122" s="67" t="s">
        <v>23</v>
      </c>
      <c r="D122" s="119"/>
      <c r="E122" s="144" t="e">
        <f>#REF!</f>
        <v>#REF!</v>
      </c>
      <c r="F122" s="67"/>
      <c r="G122" s="67"/>
      <c r="H122" s="90"/>
    </row>
    <row r="123" spans="1:8" ht="12.75" hidden="1">
      <c r="A123" s="65"/>
      <c r="B123" s="67" t="s">
        <v>152</v>
      </c>
      <c r="C123" s="67" t="s">
        <v>23</v>
      </c>
      <c r="D123" s="127"/>
      <c r="E123" s="145">
        <f>598.486+893.75+952.815+325.082+205.071+220.535+114906.512</f>
        <v>118102.251</v>
      </c>
      <c r="F123" s="67"/>
      <c r="G123" s="67"/>
      <c r="H123" s="91" t="e">
        <f>E99+E126+#REF!+E43+E26+#REF!</f>
        <v>#REF!</v>
      </c>
    </row>
    <row r="124" spans="1:16" ht="12.75" hidden="1">
      <c r="A124" s="65"/>
      <c r="B124" s="67" t="s">
        <v>5</v>
      </c>
      <c r="C124" s="67" t="s">
        <v>23</v>
      </c>
      <c r="D124" s="119"/>
      <c r="E124" s="144">
        <v>4373.851</v>
      </c>
      <c r="F124" s="17"/>
      <c r="G124" s="67"/>
      <c r="H124" s="89"/>
      <c r="P124" s="125">
        <f>E124+E98</f>
        <v>12607.564999999999</v>
      </c>
    </row>
    <row r="125" spans="1:16" ht="12.75" hidden="1">
      <c r="A125" s="65"/>
      <c r="B125" s="4" t="s">
        <v>173</v>
      </c>
      <c r="C125" s="67" t="s">
        <v>23</v>
      </c>
      <c r="D125" s="119"/>
      <c r="E125" s="145">
        <f>5389.775</f>
        <v>5389.775</v>
      </c>
      <c r="F125" s="67"/>
      <c r="G125" s="67"/>
      <c r="H125" s="92"/>
      <c r="P125" s="125">
        <f>E99+E126</f>
        <v>1263.521</v>
      </c>
    </row>
    <row r="126" spans="1:8" ht="12.75" hidden="1">
      <c r="A126" s="65"/>
      <c r="B126" s="67" t="s">
        <v>153</v>
      </c>
      <c r="C126" s="67" t="s">
        <v>23</v>
      </c>
      <c r="D126" s="119"/>
      <c r="E126" s="144">
        <v>443.75</v>
      </c>
      <c r="F126" s="67"/>
      <c r="G126" s="85"/>
      <c r="H126" s="92"/>
    </row>
    <row r="127" spans="1:8" ht="12.75" hidden="1">
      <c r="A127" s="65"/>
      <c r="B127" s="67" t="s">
        <v>166</v>
      </c>
      <c r="C127" s="67"/>
      <c r="D127" s="119"/>
      <c r="E127" s="139"/>
      <c r="F127" s="67"/>
      <c r="G127" s="85"/>
      <c r="H127" s="92"/>
    </row>
    <row r="128" spans="1:8" ht="12.75" hidden="1">
      <c r="A128" s="65"/>
      <c r="B128" s="67" t="s">
        <v>13</v>
      </c>
      <c r="C128" s="67" t="s">
        <v>23</v>
      </c>
      <c r="D128" s="111"/>
      <c r="E128" s="144">
        <f>208.039+3.652</f>
        <v>211.69099999999997</v>
      </c>
      <c r="F128" s="67"/>
      <c r="G128" s="67"/>
      <c r="H128" s="89"/>
    </row>
    <row r="129" spans="1:8" ht="12.75" hidden="1">
      <c r="A129" s="65"/>
      <c r="B129" s="67" t="s">
        <v>154</v>
      </c>
      <c r="C129" s="67" t="s">
        <v>23</v>
      </c>
      <c r="D129" s="111"/>
      <c r="E129" s="144" t="e">
        <f>#REF!</f>
        <v>#REF!</v>
      </c>
      <c r="F129" s="67"/>
      <c r="G129" s="67"/>
      <c r="H129" s="1"/>
    </row>
    <row r="130" spans="1:8" ht="12.75" hidden="1">
      <c r="A130" s="65"/>
      <c r="B130" s="77" t="s">
        <v>155</v>
      </c>
      <c r="C130" s="67" t="s">
        <v>23</v>
      </c>
      <c r="D130" s="120">
        <f>SUM(D75:D129)</f>
        <v>650028.912</v>
      </c>
      <c r="E130" s="109" t="e">
        <f>SUM(E75:E129)</f>
        <v>#REF!</v>
      </c>
      <c r="F130" s="67"/>
      <c r="G130" s="3"/>
      <c r="H130" s="1"/>
    </row>
    <row r="131" spans="1:8" ht="12.75" hidden="1">
      <c r="A131" s="65"/>
      <c r="B131" s="77" t="s">
        <v>156</v>
      </c>
      <c r="C131" s="67" t="s">
        <v>23</v>
      </c>
      <c r="D131" s="93"/>
      <c r="E131" s="109" t="e">
        <f>D130-E130</f>
        <v>#REF!</v>
      </c>
      <c r="F131" s="121" t="e">
        <f>E134-E133</f>
        <v>#REF!</v>
      </c>
      <c r="G131" s="17" t="e">
        <f>E132-P134</f>
        <v>#REF!</v>
      </c>
      <c r="H131" s="1"/>
    </row>
    <row r="132" spans="1:8" ht="13.5" hidden="1" thickBot="1">
      <c r="A132" s="94"/>
      <c r="B132" s="95" t="s">
        <v>157</v>
      </c>
      <c r="C132" s="95" t="s">
        <v>23</v>
      </c>
      <c r="D132" s="96"/>
      <c r="E132" s="110" t="e">
        <f>E131+#REF!</f>
        <v>#REF!</v>
      </c>
      <c r="F132" s="149">
        <f>F133+64829.742</f>
        <v>342595.101</v>
      </c>
      <c r="G132" s="150" t="e">
        <f>E132-F132</f>
        <v>#REF!</v>
      </c>
      <c r="H132" s="1"/>
    </row>
    <row r="133" spans="1:16" ht="12.75" hidden="1">
      <c r="A133" s="97"/>
      <c r="B133" s="133">
        <f>C134+D112</f>
        <v>6204.343</v>
      </c>
      <c r="C133" s="133"/>
      <c r="D133" s="108">
        <v>613871.957</v>
      </c>
      <c r="E133" s="122" t="e">
        <f>E130+E64</f>
        <v>#REF!</v>
      </c>
      <c r="F133" s="99">
        <v>277765.359</v>
      </c>
      <c r="G133" s="133">
        <f>G134-F133</f>
        <v>-551.5079999996233</v>
      </c>
      <c r="P133" s="130"/>
    </row>
    <row r="134" spans="1:16" ht="12.75" hidden="1">
      <c r="A134" s="97"/>
      <c r="B134" s="98"/>
      <c r="C134" s="133"/>
      <c r="D134" s="131">
        <f>D130-D121-D80</f>
        <v>613871.955</v>
      </c>
      <c r="E134" s="108">
        <f>3836650.057+527668.238+7095.376</f>
        <v>4371413.671</v>
      </c>
      <c r="F134" s="99">
        <f>4054189.39+12885.957+23629.302+622752.615</f>
        <v>4713457.264</v>
      </c>
      <c r="G134" s="99">
        <f>F134-E134-P134</f>
        <v>277213.8510000004</v>
      </c>
      <c r="P134">
        <v>64829.742</v>
      </c>
    </row>
    <row r="135" spans="1:7" ht="12.75">
      <c r="A135" s="97"/>
      <c r="B135" s="98"/>
      <c r="C135" s="133"/>
      <c r="D135" s="131"/>
      <c r="E135" s="108"/>
      <c r="F135" s="99"/>
      <c r="G135" s="99"/>
    </row>
    <row r="136" spans="1:7" ht="12.75">
      <c r="A136" s="97"/>
      <c r="B136" s="98"/>
      <c r="C136" s="133"/>
      <c r="D136" s="131"/>
      <c r="E136" s="108"/>
      <c r="F136" s="99"/>
      <c r="G136" s="99"/>
    </row>
    <row r="137" spans="1:16" s="100" customFormat="1" ht="22.5" customHeight="1">
      <c r="A137" s="170" t="s">
        <v>158</v>
      </c>
      <c r="B137" s="170"/>
      <c r="C137" s="170"/>
      <c r="D137" s="170"/>
      <c r="E137" s="170"/>
      <c r="F137" s="170"/>
      <c r="G137" s="170"/>
      <c r="P137" s="123"/>
    </row>
    <row r="138" spans="1:16" s="100" customFormat="1" ht="21.75" customHeight="1">
      <c r="A138" s="170" t="s">
        <v>159</v>
      </c>
      <c r="B138" s="170"/>
      <c r="C138" s="170"/>
      <c r="D138" s="170"/>
      <c r="E138" s="170"/>
      <c r="F138" s="170"/>
      <c r="G138" s="170"/>
      <c r="P138" s="123"/>
    </row>
    <row r="139" spans="1:16" s="100" customFormat="1" ht="20.25" customHeight="1">
      <c r="A139" s="170" t="s">
        <v>160</v>
      </c>
      <c r="B139" s="170"/>
      <c r="C139" s="170"/>
      <c r="D139" s="170"/>
      <c r="E139" s="170"/>
      <c r="F139" s="170"/>
      <c r="G139" s="170"/>
      <c r="P139" s="124"/>
    </row>
    <row r="140" spans="1:7" s="100" customFormat="1" ht="23.25" customHeight="1">
      <c r="A140" s="170"/>
      <c r="B140" s="170"/>
      <c r="C140" s="170"/>
      <c r="D140" s="170"/>
      <c r="E140" s="170"/>
      <c r="F140" s="170"/>
      <c r="G140" s="170"/>
    </row>
    <row r="141" spans="1:7" s="100" customFormat="1" ht="21.75" customHeight="1">
      <c r="A141" s="170" t="s">
        <v>181</v>
      </c>
      <c r="B141" s="170"/>
      <c r="C141" s="170"/>
      <c r="D141" s="170"/>
      <c r="E141" s="170"/>
      <c r="F141" s="170"/>
      <c r="G141" s="170"/>
    </row>
    <row r="142" spans="1:7" s="100" customFormat="1" ht="21.75" customHeight="1">
      <c r="A142" s="155"/>
      <c r="B142" s="155"/>
      <c r="C142" s="155"/>
      <c r="D142" s="155"/>
      <c r="E142" s="155"/>
      <c r="F142" s="155"/>
      <c r="G142" s="155"/>
    </row>
    <row r="143" spans="1:7" s="101" customFormat="1" ht="27.75" customHeight="1">
      <c r="A143" s="171"/>
      <c r="B143" s="171"/>
      <c r="C143" s="171"/>
      <c r="D143" s="171"/>
      <c r="E143" s="171"/>
      <c r="F143" s="171"/>
      <c r="G143" s="171"/>
    </row>
    <row r="144" spans="1:7" s="101" customFormat="1" ht="45" customHeight="1">
      <c r="A144" s="172"/>
      <c r="B144" s="172"/>
      <c r="C144" s="172"/>
      <c r="D144" s="172"/>
      <c r="E144" s="172"/>
      <c r="F144" s="172"/>
      <c r="G144" s="172"/>
    </row>
    <row r="145" spans="1:7" s="100" customFormat="1" ht="18.75">
      <c r="A145" s="155"/>
      <c r="B145" s="102"/>
      <c r="C145" s="102"/>
      <c r="D145" s="102"/>
      <c r="E145" s="102"/>
      <c r="F145" s="102"/>
      <c r="G145" s="102"/>
    </row>
    <row r="146" spans="1:7" ht="15.75">
      <c r="A146" s="103"/>
      <c r="B146" s="104"/>
      <c r="C146" s="104"/>
      <c r="D146" s="104"/>
      <c r="E146" s="104"/>
      <c r="F146" s="104"/>
      <c r="G146" s="104"/>
    </row>
  </sheetData>
  <sheetProtection/>
  <mergeCells count="30">
    <mergeCell ref="D10:D13"/>
    <mergeCell ref="E10:E13"/>
    <mergeCell ref="A2:G2"/>
    <mergeCell ref="A4:G4"/>
    <mergeCell ref="A5:G5"/>
    <mergeCell ref="F10:G10"/>
    <mergeCell ref="F11:F13"/>
    <mergeCell ref="G11:G13"/>
    <mergeCell ref="A6:G6"/>
    <mergeCell ref="A7:G7"/>
    <mergeCell ref="A8:G8"/>
    <mergeCell ref="A9:G9"/>
    <mergeCell ref="A10:A13"/>
    <mergeCell ref="B10:B13"/>
    <mergeCell ref="C10:C13"/>
    <mergeCell ref="A69:A70"/>
    <mergeCell ref="B69:B70"/>
    <mergeCell ref="B73:B74"/>
    <mergeCell ref="C73:C74"/>
    <mergeCell ref="D73:D74"/>
    <mergeCell ref="E73:E74"/>
    <mergeCell ref="A140:G140"/>
    <mergeCell ref="A141:G141"/>
    <mergeCell ref="A143:G143"/>
    <mergeCell ref="A144:G144"/>
    <mergeCell ref="F73:F74"/>
    <mergeCell ref="G73:G74"/>
    <mergeCell ref="A137:G137"/>
    <mergeCell ref="A138:G138"/>
    <mergeCell ref="A139:G139"/>
  </mergeCells>
  <printOptions horizontalCentered="1"/>
  <pageMargins left="0.5511811023622047" right="0.1968503937007874" top="0.1968503937007874" bottom="0.3937007874015748" header="0.1968503937007874" footer="0.1968503937007874"/>
  <pageSetup fitToHeight="2" horizontalDpi="600" verticalDpi="600" orientation="portrait" paperSize="9" scale="84" r:id="rId3"/>
  <rowBreaks count="1" manualBreakCount="1">
    <brk id="5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2019-04-25T04:20:39Z</cp:lastPrinted>
  <dcterms:created xsi:type="dcterms:W3CDTF">2005-02-11T08:00:00Z</dcterms:created>
  <dcterms:modified xsi:type="dcterms:W3CDTF">2019-04-25T04:38:26Z</dcterms:modified>
  <cp:category/>
  <cp:version/>
  <cp:contentType/>
  <cp:contentStatus/>
</cp:coreProperties>
</file>