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0" windowWidth="9615" windowHeight="2085" activeTab="0"/>
  </bookViews>
  <sheets>
    <sheet name="испол тар смет.за 2019г ожидаем" sheetId="1" r:id="rId1"/>
  </sheets>
  <definedNames>
    <definedName name="_xlnm.Print_Area" localSheetId="0">'испол тар смет.за 2019г ожидаем'!$A$1:$H$92</definedName>
  </definedNames>
  <calcPr fullCalcOnLoad="1"/>
</workbook>
</file>

<file path=xl/sharedStrings.xml><?xml version="1.0" encoding="utf-8"?>
<sst xmlns="http://schemas.openxmlformats.org/spreadsheetml/2006/main" count="209" uniqueCount="147">
  <si>
    <t>материалы</t>
  </si>
  <si>
    <t>отопление и г/вс</t>
  </si>
  <si>
    <t>арендная плата</t>
  </si>
  <si>
    <t>командировочные расходы</t>
  </si>
  <si>
    <t>Расходы периода,всего</t>
  </si>
  <si>
    <t>обеспечение программы</t>
  </si>
  <si>
    <t>дезобработка</t>
  </si>
  <si>
    <t>Амортизация</t>
  </si>
  <si>
    <t>ГСМ</t>
  </si>
  <si>
    <t>водоснабжение и канализация</t>
  </si>
  <si>
    <t>техосмотр автотранспорта</t>
  </si>
  <si>
    <t>командировочные</t>
  </si>
  <si>
    <t>возврат материалов</t>
  </si>
  <si>
    <t>подряд</t>
  </si>
  <si>
    <t>Приложение 1
к Правилам утверждения
предельного уровня тарифов
(цен, ставок сборов) и тарифных
смет на регулируемые услуги
(товары, работы) субъектов
естественных монополий</t>
  </si>
  <si>
    <t>Форма, предназначенная для сбора административных данных</t>
  </si>
  <si>
    <t>Сведения об исполнении тарифной сметы на регулируемые услуги</t>
  </si>
  <si>
    <t>Индекс ИТС-1</t>
  </si>
  <si>
    <t>Периодичность: годовая</t>
  </si>
  <si>
    <t>№  п/п</t>
  </si>
  <si>
    <t>Наименование показателей</t>
  </si>
  <si>
    <t>Единицы измерения</t>
  </si>
  <si>
    <t>Фактические сложившиеся показателей тарифной сметы</t>
  </si>
  <si>
    <t xml:space="preserve">   Причины отклонения</t>
  </si>
  <si>
    <t>I.</t>
  </si>
  <si>
    <t>Затраты на производство товаров и предоставление услуг, в том числе:</t>
  </si>
  <si>
    <t>тыс.тенге</t>
  </si>
  <si>
    <t>1.</t>
  </si>
  <si>
    <t>Материальные затраты, всего</t>
  </si>
  <si>
    <t>в том числе:</t>
  </si>
  <si>
    <t>1*2</t>
  </si>
  <si>
    <t>сырье и материалы</t>
  </si>
  <si>
    <t>1*3</t>
  </si>
  <si>
    <t>1*4</t>
  </si>
  <si>
    <t>1*5</t>
  </si>
  <si>
    <t>топливо</t>
  </si>
  <si>
    <t>2.</t>
  </si>
  <si>
    <t xml:space="preserve">Затраты на оплату труда, в том числе </t>
  </si>
  <si>
    <t>2*1</t>
  </si>
  <si>
    <t>заработная плата</t>
  </si>
  <si>
    <t>2*2</t>
  </si>
  <si>
    <t>и.д</t>
  </si>
  <si>
    <t>2*3</t>
  </si>
  <si>
    <t>3.</t>
  </si>
  <si>
    <t>4.</t>
  </si>
  <si>
    <t>одной строкой</t>
  </si>
  <si>
    <t>рем ф</t>
  </si>
  <si>
    <t>для арема</t>
  </si>
  <si>
    <t>э/энергия на прожиг</t>
  </si>
  <si>
    <t>5.</t>
  </si>
  <si>
    <t>Прочие затраты</t>
  </si>
  <si>
    <t>5*1</t>
  </si>
  <si>
    <t>привлечение автотранспорта</t>
  </si>
  <si>
    <t>5*2</t>
  </si>
  <si>
    <t>услуги охраны труда и тех.безопасности</t>
  </si>
  <si>
    <t>1748 в вне.вед.ох</t>
  </si>
  <si>
    <t>5*3</t>
  </si>
  <si>
    <t>5*4</t>
  </si>
  <si>
    <t>5*5</t>
  </si>
  <si>
    <t>5*6</t>
  </si>
  <si>
    <t xml:space="preserve">повышение квалификации </t>
  </si>
  <si>
    <t>5*7</t>
  </si>
  <si>
    <t>обязательные   виды страхования</t>
  </si>
  <si>
    <t>5*8</t>
  </si>
  <si>
    <t>5*9</t>
  </si>
  <si>
    <t>II.</t>
  </si>
  <si>
    <t>6.</t>
  </si>
  <si>
    <t>Общие и административные расходы,в.т.ч.</t>
  </si>
  <si>
    <t>6*1</t>
  </si>
  <si>
    <t>Заработная плата администра.персонала</t>
  </si>
  <si>
    <t>6*2</t>
  </si>
  <si>
    <t>6*3</t>
  </si>
  <si>
    <t>налоговые платежи  и сборы</t>
  </si>
  <si>
    <t>прочие расходы</t>
  </si>
  <si>
    <t>7*1</t>
  </si>
  <si>
    <t>представительские расходы</t>
  </si>
  <si>
    <t>7*2</t>
  </si>
  <si>
    <t>услуги связи</t>
  </si>
  <si>
    <t>7*3</t>
  </si>
  <si>
    <t>оплата аудиторских и юр. услуг</t>
  </si>
  <si>
    <t>7*4</t>
  </si>
  <si>
    <t>услуги банка</t>
  </si>
  <si>
    <t>Другие расходы всего в том числе</t>
  </si>
  <si>
    <t>8*1</t>
  </si>
  <si>
    <t>вневедомственная охрана</t>
  </si>
  <si>
    <t>8*2</t>
  </si>
  <si>
    <t>госэнергоэкспертиза</t>
  </si>
  <si>
    <t>8*3</t>
  </si>
  <si>
    <t>канцелярские товары</t>
  </si>
  <si>
    <t>8*4</t>
  </si>
  <si>
    <t>экология</t>
  </si>
  <si>
    <t>8*5</t>
  </si>
  <si>
    <t>метрология</t>
  </si>
  <si>
    <t>8*6</t>
  </si>
  <si>
    <t>8*7</t>
  </si>
  <si>
    <t>почтовая связь</t>
  </si>
  <si>
    <t>8*8</t>
  </si>
  <si>
    <t>публикация обьявлений</t>
  </si>
  <si>
    <t>8*9</t>
  </si>
  <si>
    <t>ремонт и обслуживание оргтехники,расх мат .</t>
  </si>
  <si>
    <t>8*10</t>
  </si>
  <si>
    <t>8*11</t>
  </si>
  <si>
    <t>типографские</t>
  </si>
  <si>
    <t>8*12</t>
  </si>
  <si>
    <t>III</t>
  </si>
  <si>
    <t>Всего затрат на предоставление услуг</t>
  </si>
  <si>
    <t>IY</t>
  </si>
  <si>
    <t>Доход (РБА*СП)</t>
  </si>
  <si>
    <t>Всего доход</t>
  </si>
  <si>
    <t>Обьем оказываемых услуг реализации</t>
  </si>
  <si>
    <t>тыс.кВт.ч</t>
  </si>
  <si>
    <t>%</t>
  </si>
  <si>
    <t>Тариф за 1квтч без НДС</t>
  </si>
  <si>
    <t>тенге</t>
  </si>
  <si>
    <t>Наименование организации : АО "ТАТЭК"</t>
  </si>
  <si>
    <t>Адрес:  г.Талдыкорган ул Абылайхана 274</t>
  </si>
  <si>
    <t>Телефон : 23-33-46</t>
  </si>
  <si>
    <t>Фамилия и телефон исполнителя: 23-33-46 вн 437</t>
  </si>
  <si>
    <t> </t>
  </si>
  <si>
    <t>М.П.</t>
  </si>
  <si>
    <t>услуги  регистратора</t>
  </si>
  <si>
    <t>покупные изделия(эл.энергия потери) в т.ч.</t>
  </si>
  <si>
    <t>Утвержденная  тарифная смета              (с корректировкой)</t>
  </si>
  <si>
    <t>социальный налог и социальные отчисления</t>
  </si>
  <si>
    <t>ОСМС</t>
  </si>
  <si>
    <t>необоснованно полученный доход</t>
  </si>
  <si>
    <t>-</t>
  </si>
  <si>
    <t>отклонение</t>
  </si>
  <si>
    <t>абсолют      (+, -;)</t>
  </si>
  <si>
    <t>относит  (%)</t>
  </si>
  <si>
    <t>Ожидаемый отчет  за   2018  г.</t>
  </si>
  <si>
    <t>4*1</t>
  </si>
  <si>
    <t>4*2</t>
  </si>
  <si>
    <t>4*3</t>
  </si>
  <si>
    <t>4*4</t>
  </si>
  <si>
    <t>4*5</t>
  </si>
  <si>
    <r>
      <rPr>
        <b/>
        <sz val="12"/>
        <color indexed="8"/>
        <rFont val="Times New Roman"/>
        <family val="1"/>
      </rPr>
      <t>Представляют:</t>
    </r>
    <r>
      <rPr>
        <sz val="12"/>
        <color indexed="8"/>
        <rFont val="Times New Roman"/>
        <family val="1"/>
      </rPr>
      <t xml:space="preserve"> АО "ТАТЭК"</t>
    </r>
  </si>
  <si>
    <r>
      <rPr>
        <b/>
        <sz val="12"/>
        <color indexed="8"/>
        <rFont val="Times New Roman"/>
        <family val="1"/>
      </rPr>
      <t>Куда представляется форма:</t>
    </r>
    <r>
      <rPr>
        <sz val="12"/>
        <color indexed="8"/>
        <rFont val="Times New Roman"/>
        <family val="1"/>
      </rPr>
      <t xml:space="preserve"> Комитет по регулированию естественных монополий и защите конкуренции Министерства национальной экономики Республики Казахстан</t>
    </r>
  </si>
  <si>
    <r>
      <rPr>
        <b/>
        <sz val="12"/>
        <color indexed="8"/>
        <rFont val="Times New Roman"/>
        <family val="1"/>
      </rPr>
      <t>Срок предоставления</t>
    </r>
    <r>
      <rPr>
        <sz val="12"/>
        <color indexed="8"/>
        <rFont val="Times New Roman"/>
        <family val="1"/>
      </rPr>
      <t xml:space="preserve"> - ежегодно не позднее 1 мая года, следующего за отчетным периодом</t>
    </r>
  </si>
  <si>
    <r>
      <t>нормативные потери</t>
    </r>
    <r>
      <rPr>
        <sz val="12"/>
        <rFont val="Times New Roman"/>
        <family val="1"/>
      </rPr>
      <t xml:space="preserve"> </t>
    </r>
  </si>
  <si>
    <t>6*4</t>
  </si>
  <si>
    <t>IV</t>
  </si>
  <si>
    <t>V</t>
  </si>
  <si>
    <t>VI</t>
  </si>
  <si>
    <t>VII</t>
  </si>
  <si>
    <t>VIII</t>
  </si>
  <si>
    <t>Ремонт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</si>
</sst>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00"/>
    <numFmt numFmtId="182" formatCode="#,##0.00&quot;р.&quot;"/>
    <numFmt numFmtId="183" formatCode="#,##0.0"/>
    <numFmt numFmtId="184" formatCode="#,##0.000"/>
    <numFmt numFmtId="185" formatCode="000000"/>
    <numFmt numFmtId="186" formatCode="0.0000"/>
    <numFmt numFmtId="187" formatCode="0.00000"/>
    <numFmt numFmtId="188" formatCode="0.000000"/>
    <numFmt numFmtId="189" formatCode="[$-FC19]d\ mmmm\ yyyy\ &quot;г.&quot;"/>
    <numFmt numFmtId="190" formatCode="_-* #,##0.0&quot;р.&quot;_-;\-* #,##0.0&quot;р.&quot;_-;_-* &quot;-&quot;?&quot;р.&quot;_-;_-@_-"/>
    <numFmt numFmtId="191" formatCode="#,##0.0&quot;р.&quot;"/>
    <numFmt numFmtId="192" formatCode="#,##0.0000"/>
    <numFmt numFmtId="193" formatCode="#,##0.00000"/>
    <numFmt numFmtId="194" formatCode="0.0%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7" fillId="0" borderId="0" xfId="0" applyFont="1" applyAlignment="1">
      <alignment horizontal="justify" vertical="top"/>
    </xf>
    <xf numFmtId="0" fontId="4" fillId="0" borderId="0" xfId="0" applyFont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left"/>
    </xf>
    <xf numFmtId="180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5" fillId="0" borderId="10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/>
    </xf>
    <xf numFmtId="183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Border="1" applyAlignment="1">
      <alignment/>
    </xf>
    <xf numFmtId="183" fontId="5" fillId="33" borderId="10" xfId="0" applyNumberFormat="1" applyFont="1" applyFill="1" applyBorder="1" applyAlignment="1">
      <alignment horizontal="center"/>
    </xf>
    <xf numFmtId="180" fontId="5" fillId="0" borderId="15" xfId="0" applyNumberFormat="1" applyFont="1" applyBorder="1" applyAlignment="1">
      <alignment vertical="justify" wrapText="1"/>
    </xf>
    <xf numFmtId="0" fontId="8" fillId="13" borderId="0" xfId="0" applyFont="1" applyFill="1" applyAlignment="1">
      <alignment/>
    </xf>
    <xf numFmtId="4" fontId="5" fillId="33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left"/>
    </xf>
    <xf numFmtId="180" fontId="5" fillId="0" borderId="15" xfId="0" applyNumberFormat="1" applyFont="1" applyBorder="1" applyAlignment="1">
      <alignment wrapText="1"/>
    </xf>
    <xf numFmtId="180" fontId="4" fillId="0" borderId="10" xfId="0" applyNumberFormat="1" applyFont="1" applyBorder="1" applyAlignment="1">
      <alignment/>
    </xf>
    <xf numFmtId="183" fontId="4" fillId="33" borderId="10" xfId="0" applyNumberFormat="1" applyFont="1" applyFill="1" applyBorder="1" applyAlignment="1">
      <alignment horizontal="center"/>
    </xf>
    <xf numFmtId="183" fontId="5" fillId="0" borderId="15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0" fontId="8" fillId="16" borderId="0" xfId="0" applyFont="1" applyFill="1" applyAlignment="1">
      <alignment/>
    </xf>
    <xf numFmtId="4" fontId="8" fillId="0" borderId="0" xfId="0" applyNumberFormat="1" applyFont="1" applyAlignment="1">
      <alignment/>
    </xf>
    <xf numFmtId="180" fontId="8" fillId="34" borderId="0" xfId="0" applyNumberFormat="1" applyFont="1" applyFill="1" applyAlignment="1">
      <alignment/>
    </xf>
    <xf numFmtId="180" fontId="4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180" fontId="8" fillId="35" borderId="0" xfId="0" applyNumberFormat="1" applyFont="1" applyFill="1" applyAlignment="1">
      <alignment/>
    </xf>
    <xf numFmtId="0" fontId="8" fillId="10" borderId="0" xfId="0" applyFont="1" applyFill="1" applyAlignment="1">
      <alignment/>
    </xf>
    <xf numFmtId="180" fontId="8" fillId="9" borderId="0" xfId="0" applyNumberFormat="1" applyFont="1" applyFill="1" applyAlignment="1">
      <alignment/>
    </xf>
    <xf numFmtId="183" fontId="8" fillId="0" borderId="0" xfId="0" applyNumberFormat="1" applyFont="1" applyAlignment="1">
      <alignment/>
    </xf>
    <xf numFmtId="180" fontId="10" fillId="0" borderId="11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vertical="center"/>
    </xf>
    <xf numFmtId="183" fontId="5" fillId="33" borderId="10" xfId="0" applyNumberFormat="1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80" fontId="8" fillId="9" borderId="0" xfId="0" applyNumberFormat="1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8" fillId="37" borderId="0" xfId="0" applyFont="1" applyFill="1" applyAlignment="1">
      <alignment/>
    </xf>
    <xf numFmtId="0" fontId="8" fillId="18" borderId="0" xfId="0" applyFont="1" applyFill="1" applyAlignment="1">
      <alignment/>
    </xf>
    <xf numFmtId="180" fontId="8" fillId="2" borderId="0" xfId="0" applyNumberFormat="1" applyFont="1" applyFill="1" applyAlignment="1">
      <alignment/>
    </xf>
    <xf numFmtId="180" fontId="8" fillId="11" borderId="0" xfId="0" applyNumberFormat="1" applyFont="1" applyFill="1" applyAlignment="1">
      <alignment/>
    </xf>
    <xf numFmtId="180" fontId="11" fillId="0" borderId="15" xfId="0" applyNumberFormat="1" applyFont="1" applyBorder="1" applyAlignment="1">
      <alignment/>
    </xf>
    <xf numFmtId="180" fontId="8" fillId="19" borderId="0" xfId="0" applyNumberFormat="1" applyFont="1" applyFill="1" applyAlignment="1">
      <alignment/>
    </xf>
    <xf numFmtId="0" fontId="4" fillId="0" borderId="11" xfId="0" applyFont="1" applyBorder="1" applyAlignment="1">
      <alignment horizontal="center"/>
    </xf>
    <xf numFmtId="180" fontId="5" fillId="0" borderId="10" xfId="0" applyNumberFormat="1" applyFont="1" applyBorder="1" applyAlignment="1">
      <alignment horizontal="left"/>
    </xf>
    <xf numFmtId="180" fontId="5" fillId="0" borderId="15" xfId="0" applyNumberFormat="1" applyFont="1" applyBorder="1" applyAlignment="1">
      <alignment horizontal="left"/>
    </xf>
    <xf numFmtId="0" fontId="8" fillId="34" borderId="0" xfId="0" applyFont="1" applyFill="1" applyAlignment="1">
      <alignment/>
    </xf>
    <xf numFmtId="180" fontId="5" fillId="0" borderId="10" xfId="0" applyNumberFormat="1" applyFont="1" applyBorder="1" applyAlignment="1">
      <alignment horizontal="left" vertical="center"/>
    </xf>
    <xf numFmtId="183" fontId="4" fillId="33" borderId="1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19" borderId="0" xfId="0" applyFont="1" applyFill="1" applyAlignment="1">
      <alignment/>
    </xf>
    <xf numFmtId="180" fontId="8" fillId="3" borderId="0" xfId="0" applyNumberFormat="1" applyFont="1" applyFill="1" applyAlignment="1">
      <alignment/>
    </xf>
    <xf numFmtId="180" fontId="11" fillId="0" borderId="15" xfId="0" applyNumberFormat="1" applyFont="1" applyBorder="1" applyAlignment="1">
      <alignment vertical="center" wrapText="1"/>
    </xf>
    <xf numFmtId="183" fontId="8" fillId="4" borderId="0" xfId="0" applyNumberFormat="1" applyFont="1" applyFill="1" applyAlignment="1">
      <alignment/>
    </xf>
    <xf numFmtId="1" fontId="4" fillId="0" borderId="11" xfId="0" applyNumberFormat="1" applyFont="1" applyBorder="1" applyAlignment="1">
      <alignment horizontal="center"/>
    </xf>
    <xf numFmtId="0" fontId="8" fillId="4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40" borderId="0" xfId="0" applyFont="1" applyFill="1" applyAlignment="1">
      <alignment/>
    </xf>
    <xf numFmtId="0" fontId="8" fillId="2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justify"/>
    </xf>
    <xf numFmtId="194" fontId="5" fillId="0" borderId="15" xfId="57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Border="1" applyAlignment="1">
      <alignment vertical="top" wrapText="1"/>
    </xf>
    <xf numFmtId="180" fontId="5" fillId="0" borderId="15" xfId="0" applyNumberFormat="1" applyFont="1" applyBorder="1" applyAlignment="1">
      <alignment vertical="top" wrapText="1"/>
    </xf>
    <xf numFmtId="2" fontId="4" fillId="0" borderId="10" xfId="0" applyNumberFormat="1" applyFont="1" applyFill="1" applyBorder="1" applyAlignment="1">
      <alignment horizontal="center"/>
    </xf>
    <xf numFmtId="180" fontId="4" fillId="0" borderId="16" xfId="0" applyNumberFormat="1" applyFont="1" applyBorder="1" applyAlignment="1">
      <alignment horizontal="center"/>
    </xf>
    <xf numFmtId="180" fontId="5" fillId="0" borderId="17" xfId="0" applyNumberFormat="1" applyFont="1" applyBorder="1" applyAlignment="1">
      <alignment horizontal="justify"/>
    </xf>
    <xf numFmtId="180" fontId="4" fillId="0" borderId="17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80" fontId="5" fillId="0" borderId="17" xfId="0" applyNumberFormat="1" applyFont="1" applyBorder="1" applyAlignment="1">
      <alignment horizontal="center"/>
    </xf>
    <xf numFmtId="180" fontId="5" fillId="0" borderId="18" xfId="0" applyNumberFormat="1" applyFont="1" applyBorder="1" applyAlignment="1">
      <alignment/>
    </xf>
    <xf numFmtId="0" fontId="47" fillId="0" borderId="0" xfId="0" applyFont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3" fontId="5" fillId="0" borderId="15" xfId="0" applyNumberFormat="1" applyFont="1" applyFill="1" applyBorder="1" applyAlignment="1">
      <alignment horizontal="center" vertical="justify" wrapText="1"/>
    </xf>
    <xf numFmtId="0" fontId="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180" fontId="3" fillId="0" borderId="0" xfId="0" applyNumberFormat="1" applyFont="1" applyBorder="1" applyAlignment="1">
      <alignment/>
    </xf>
    <xf numFmtId="180" fontId="4" fillId="0" borderId="19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4" fillId="0" borderId="2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view="pageBreakPreview" zoomScale="75" zoomScaleNormal="87" zoomScaleSheetLayoutView="75" zoomScalePageLayoutView="0" workbookViewId="0" topLeftCell="A1">
      <selection activeCell="A89" sqref="A89:H89"/>
    </sheetView>
  </sheetViews>
  <sheetFormatPr defaultColWidth="9.00390625" defaultRowHeight="12.75" outlineLevelRow="1"/>
  <cols>
    <col min="1" max="1" width="9.125" style="7" customWidth="1"/>
    <col min="2" max="2" width="41.375" style="7" customWidth="1"/>
    <col min="3" max="3" width="11.375" style="7" customWidth="1"/>
    <col min="4" max="4" width="19.00390625" style="7" customWidth="1"/>
    <col min="5" max="5" width="18.25390625" style="106" customWidth="1"/>
    <col min="6" max="6" width="12.00390625" style="7" customWidth="1"/>
    <col min="7" max="7" width="14.25390625" style="7" customWidth="1"/>
    <col min="8" max="8" width="14.625" style="7" customWidth="1"/>
    <col min="9" max="9" width="14.625" style="7" hidden="1" customWidth="1"/>
    <col min="10" max="10" width="11.875" style="7" hidden="1" customWidth="1"/>
    <col min="11" max="13" width="0" style="7" hidden="1" customWidth="1"/>
    <col min="14" max="14" width="12.125" style="7" hidden="1" customWidth="1"/>
    <col min="15" max="16" width="0" style="7" hidden="1" customWidth="1"/>
    <col min="17" max="17" width="15.375" style="7" bestFit="1" customWidth="1"/>
    <col min="18" max="16384" width="9.125" style="7" customWidth="1"/>
  </cols>
  <sheetData>
    <row r="1" spans="1:8" ht="117" customHeight="1">
      <c r="A1" s="5"/>
      <c r="B1" s="5"/>
      <c r="C1" s="5"/>
      <c r="D1" s="5"/>
      <c r="E1" s="6"/>
      <c r="F1" s="108" t="s">
        <v>14</v>
      </c>
      <c r="G1" s="108"/>
      <c r="H1" s="108"/>
    </row>
    <row r="2" spans="1:8" ht="22.5" customHeight="1">
      <c r="A2" s="109" t="s">
        <v>15</v>
      </c>
      <c r="B2" s="109"/>
      <c r="C2" s="109"/>
      <c r="D2" s="109"/>
      <c r="E2" s="109"/>
      <c r="F2" s="109"/>
      <c r="G2" s="109"/>
      <c r="H2" s="109"/>
    </row>
    <row r="3" spans="1:8" ht="21" customHeight="1">
      <c r="A3" s="109" t="s">
        <v>16</v>
      </c>
      <c r="B3" s="109"/>
      <c r="C3" s="109"/>
      <c r="D3" s="109"/>
      <c r="E3" s="109"/>
      <c r="F3" s="109"/>
      <c r="G3" s="109"/>
      <c r="H3" s="109"/>
    </row>
    <row r="4" spans="1:8" ht="21" customHeight="1">
      <c r="A4" s="8"/>
      <c r="B4" s="8"/>
      <c r="C4" s="8"/>
      <c r="D4" s="8"/>
      <c r="E4" s="9"/>
      <c r="F4" s="10"/>
      <c r="G4" s="8"/>
      <c r="H4" s="8"/>
    </row>
    <row r="5" spans="1:8" ht="22.5" customHeight="1">
      <c r="A5" s="110" t="s">
        <v>130</v>
      </c>
      <c r="B5" s="110"/>
      <c r="C5" s="110"/>
      <c r="D5" s="110"/>
      <c r="E5" s="110"/>
      <c r="F5" s="110"/>
      <c r="G5" s="110"/>
      <c r="H5" s="110"/>
    </row>
    <row r="6" spans="1:8" ht="22.5" customHeight="1">
      <c r="A6" s="11"/>
      <c r="B6" s="11"/>
      <c r="C6" s="11"/>
      <c r="D6" s="11"/>
      <c r="E6" s="12"/>
      <c r="F6" s="2"/>
      <c r="G6" s="11"/>
      <c r="H6" s="11"/>
    </row>
    <row r="7" spans="1:8" ht="20.25" customHeight="1">
      <c r="A7" s="109" t="s">
        <v>17</v>
      </c>
      <c r="B7" s="109"/>
      <c r="C7" s="109"/>
      <c r="D7" s="109"/>
      <c r="E7" s="109"/>
      <c r="F7" s="109"/>
      <c r="G7" s="109"/>
      <c r="H7" s="109"/>
    </row>
    <row r="8" spans="1:8" ht="20.25" customHeight="1">
      <c r="A8" s="109" t="s">
        <v>18</v>
      </c>
      <c r="B8" s="109"/>
      <c r="C8" s="109"/>
      <c r="D8" s="109"/>
      <c r="E8" s="109"/>
      <c r="F8" s="109"/>
      <c r="G8" s="109"/>
      <c r="H8" s="109"/>
    </row>
    <row r="9" spans="1:8" ht="20.25" customHeight="1">
      <c r="A9" s="111" t="s">
        <v>136</v>
      </c>
      <c r="B9" s="112"/>
      <c r="C9" s="112"/>
      <c r="D9" s="112"/>
      <c r="E9" s="112"/>
      <c r="F9" s="112"/>
      <c r="G9" s="112"/>
      <c r="H9" s="112"/>
    </row>
    <row r="10" spans="1:8" ht="37.5" customHeight="1">
      <c r="A10" s="113" t="s">
        <v>137</v>
      </c>
      <c r="B10" s="113"/>
      <c r="C10" s="113"/>
      <c r="D10" s="113"/>
      <c r="E10" s="113"/>
      <c r="F10" s="113"/>
      <c r="G10" s="113"/>
      <c r="H10" s="113"/>
    </row>
    <row r="11" spans="1:8" ht="21" customHeight="1">
      <c r="A11" s="112" t="s">
        <v>138</v>
      </c>
      <c r="B11" s="112"/>
      <c r="C11" s="112"/>
      <c r="D11" s="112"/>
      <c r="E11" s="112"/>
      <c r="F11" s="112"/>
      <c r="G11" s="112"/>
      <c r="H11" s="112"/>
    </row>
    <row r="12" spans="1:8" ht="16.5" thickBot="1">
      <c r="A12" s="114"/>
      <c r="B12" s="114"/>
      <c r="C12" s="114"/>
      <c r="D12" s="114"/>
      <c r="E12" s="114"/>
      <c r="F12" s="114"/>
      <c r="G12" s="114"/>
      <c r="H12" s="114"/>
    </row>
    <row r="13" spans="1:8" ht="32.25" customHeight="1">
      <c r="A13" s="115" t="s">
        <v>19</v>
      </c>
      <c r="B13" s="118" t="s">
        <v>20</v>
      </c>
      <c r="C13" s="121" t="s">
        <v>21</v>
      </c>
      <c r="D13" s="121" t="s">
        <v>122</v>
      </c>
      <c r="E13" s="124" t="s">
        <v>22</v>
      </c>
      <c r="F13" s="122" t="s">
        <v>127</v>
      </c>
      <c r="G13" s="122"/>
      <c r="H13" s="127" t="s">
        <v>23</v>
      </c>
    </row>
    <row r="14" spans="1:8" ht="12.75" customHeight="1">
      <c r="A14" s="116"/>
      <c r="B14" s="119"/>
      <c r="C14" s="122"/>
      <c r="D14" s="122"/>
      <c r="E14" s="125"/>
      <c r="F14" s="122" t="s">
        <v>128</v>
      </c>
      <c r="G14" s="130" t="s">
        <v>129</v>
      </c>
      <c r="H14" s="128"/>
    </row>
    <row r="15" spans="1:8" ht="12.75" customHeight="1">
      <c r="A15" s="116"/>
      <c r="B15" s="119"/>
      <c r="C15" s="122"/>
      <c r="D15" s="122"/>
      <c r="E15" s="125"/>
      <c r="F15" s="122"/>
      <c r="G15" s="131"/>
      <c r="H15" s="128"/>
    </row>
    <row r="16" spans="1:8" ht="8.25" customHeight="1" thickBot="1">
      <c r="A16" s="117"/>
      <c r="B16" s="120"/>
      <c r="C16" s="123"/>
      <c r="D16" s="123"/>
      <c r="E16" s="126"/>
      <c r="F16" s="122"/>
      <c r="G16" s="132"/>
      <c r="H16" s="129"/>
    </row>
    <row r="17" spans="1:8" ht="15.75">
      <c r="A17" s="14">
        <v>1</v>
      </c>
      <c r="B17" s="15">
        <v>2</v>
      </c>
      <c r="C17" s="15">
        <v>3</v>
      </c>
      <c r="D17" s="15">
        <v>4</v>
      </c>
      <c r="E17" s="16">
        <v>5</v>
      </c>
      <c r="F17" s="15">
        <v>6</v>
      </c>
      <c r="G17" s="15">
        <v>7</v>
      </c>
      <c r="H17" s="17">
        <v>8</v>
      </c>
    </row>
    <row r="18" spans="1:8" ht="34.5" customHeight="1">
      <c r="A18" s="13" t="s">
        <v>24</v>
      </c>
      <c r="B18" s="18" t="s">
        <v>25</v>
      </c>
      <c r="C18" s="3" t="s">
        <v>26</v>
      </c>
      <c r="D18" s="19">
        <f>D19+D27+D31+D32+D39</f>
        <v>3538351.8000000003</v>
      </c>
      <c r="E18" s="19">
        <f>E19+E27+E31+E32+E39</f>
        <v>3613794.4820000003</v>
      </c>
      <c r="F18" s="19">
        <v>75442.7</v>
      </c>
      <c r="G18" s="20">
        <v>102.1</v>
      </c>
      <c r="H18" s="21"/>
    </row>
    <row r="19" spans="1:8" ht="15.75">
      <c r="A19" s="22" t="s">
        <v>27</v>
      </c>
      <c r="B19" s="23" t="s">
        <v>28</v>
      </c>
      <c r="C19" s="24" t="s">
        <v>26</v>
      </c>
      <c r="D19" s="25">
        <f>SUM(D21:D25)-D23</f>
        <v>1199063.4000000001</v>
      </c>
      <c r="E19" s="25">
        <f>SUM(E21:E25)-E23</f>
        <v>1185930.4630000002</v>
      </c>
      <c r="F19" s="26">
        <f>E19-D19</f>
        <v>-13132.936999999918</v>
      </c>
      <c r="G19" s="27">
        <f aca="true" t="shared" si="0" ref="G19:G36">E19/D19*100</f>
        <v>98.90473372800805</v>
      </c>
      <c r="H19" s="28"/>
    </row>
    <row r="20" spans="1:8" ht="15.75">
      <c r="A20" s="22"/>
      <c r="B20" s="23" t="s">
        <v>29</v>
      </c>
      <c r="C20" s="24"/>
      <c r="D20" s="29"/>
      <c r="E20" s="29"/>
      <c r="F20" s="27"/>
      <c r="G20" s="27"/>
      <c r="H20" s="28"/>
    </row>
    <row r="21" spans="1:9" ht="15.75">
      <c r="A21" s="22" t="s">
        <v>30</v>
      </c>
      <c r="B21" s="30" t="s">
        <v>31</v>
      </c>
      <c r="C21" s="24" t="s">
        <v>26</v>
      </c>
      <c r="D21" s="31">
        <v>23390.3</v>
      </c>
      <c r="E21" s="29">
        <f>13123.8+18861.8</f>
        <v>31985.6</v>
      </c>
      <c r="F21" s="27">
        <f aca="true" t="shared" si="1" ref="F21:F26">E21-D21</f>
        <v>8595.3</v>
      </c>
      <c r="G21" s="27">
        <f t="shared" si="0"/>
        <v>136.74728413060114</v>
      </c>
      <c r="H21" s="32"/>
      <c r="I21" s="33">
        <v>-16900</v>
      </c>
    </row>
    <row r="22" spans="1:9" ht="15.75">
      <c r="A22" s="22" t="s">
        <v>32</v>
      </c>
      <c r="B22" s="30" t="s">
        <v>121</v>
      </c>
      <c r="C22" s="24" t="s">
        <v>26</v>
      </c>
      <c r="D22" s="31">
        <v>1125975</v>
      </c>
      <c r="E22" s="107">
        <v>1095687.763</v>
      </c>
      <c r="F22" s="27">
        <f t="shared" si="1"/>
        <v>-30287.236999999965</v>
      </c>
      <c r="G22" s="27">
        <f>E22/D22*100</f>
        <v>97.31013237416461</v>
      </c>
      <c r="H22" s="32"/>
      <c r="I22" s="33"/>
    </row>
    <row r="23" spans="1:9" ht="15.75" hidden="1">
      <c r="A23" s="22"/>
      <c r="B23" s="30"/>
      <c r="C23" s="24"/>
      <c r="D23" s="34"/>
      <c r="E23" s="35"/>
      <c r="F23" s="27"/>
      <c r="G23" s="27"/>
      <c r="H23" s="32"/>
      <c r="I23" s="33"/>
    </row>
    <row r="24" spans="1:9" ht="15.75">
      <c r="A24" s="22" t="s">
        <v>33</v>
      </c>
      <c r="B24" s="36" t="s">
        <v>8</v>
      </c>
      <c r="C24" s="24" t="s">
        <v>26</v>
      </c>
      <c r="D24" s="31">
        <v>49698.1</v>
      </c>
      <c r="E24" s="29">
        <f>74257.1-10000-6000</f>
        <v>58257.100000000006</v>
      </c>
      <c r="F24" s="27">
        <f t="shared" si="1"/>
        <v>8559.000000000007</v>
      </c>
      <c r="G24" s="27">
        <f>E24/D24*100</f>
        <v>117.22198635360309</v>
      </c>
      <c r="H24" s="32"/>
      <c r="I24" s="33"/>
    </row>
    <row r="25" spans="1:11" ht="15.75">
      <c r="A25" s="22" t="s">
        <v>34</v>
      </c>
      <c r="B25" s="30" t="s">
        <v>35</v>
      </c>
      <c r="C25" s="24" t="s">
        <v>26</v>
      </c>
      <c r="D25" s="31"/>
      <c r="E25" s="29"/>
      <c r="F25" s="27">
        <f t="shared" si="1"/>
        <v>0</v>
      </c>
      <c r="G25" s="27"/>
      <c r="H25" s="37"/>
      <c r="I25" s="7">
        <v>385.7</v>
      </c>
      <c r="J25" s="7">
        <v>135</v>
      </c>
      <c r="K25" s="7">
        <v>500</v>
      </c>
    </row>
    <row r="26" spans="1:8" ht="15.75" hidden="1">
      <c r="A26" s="22"/>
      <c r="B26" s="30"/>
      <c r="C26" s="24"/>
      <c r="D26" s="31"/>
      <c r="E26" s="29"/>
      <c r="F26" s="27">
        <f t="shared" si="1"/>
        <v>0</v>
      </c>
      <c r="G26" s="27" t="e">
        <f t="shared" si="0"/>
        <v>#DIV/0!</v>
      </c>
      <c r="H26" s="28"/>
    </row>
    <row r="27" spans="1:10" ht="15.75">
      <c r="A27" s="22" t="s">
        <v>36</v>
      </c>
      <c r="B27" s="38" t="s">
        <v>37</v>
      </c>
      <c r="C27" s="24" t="s">
        <v>26</v>
      </c>
      <c r="D27" s="39">
        <f>D28+D29+D30</f>
        <v>1369521.3</v>
      </c>
      <c r="E27" s="25">
        <f>E28+E29+E30</f>
        <v>1377961.3159999999</v>
      </c>
      <c r="F27" s="26">
        <f>F28+F29+F30</f>
        <v>8440.015999999923</v>
      </c>
      <c r="G27" s="27">
        <f t="shared" si="0"/>
        <v>100.61627489838966</v>
      </c>
      <c r="H27" s="40"/>
      <c r="I27" s="41"/>
      <c r="J27" s="41"/>
    </row>
    <row r="28" spans="1:17" ht="15.75">
      <c r="A28" s="22" t="s">
        <v>38</v>
      </c>
      <c r="B28" s="30" t="s">
        <v>39</v>
      </c>
      <c r="C28" s="24" t="s">
        <v>26</v>
      </c>
      <c r="D28" s="31">
        <v>1246107.3</v>
      </c>
      <c r="E28" s="29">
        <v>1251855.693</v>
      </c>
      <c r="F28" s="27">
        <f aca="true" t="shared" si="2" ref="F28:F82">E28-D28</f>
        <v>5748.392999999924</v>
      </c>
      <c r="G28" s="27">
        <f t="shared" si="0"/>
        <v>100.46130802700537</v>
      </c>
      <c r="H28" s="28"/>
      <c r="I28" s="41">
        <v>-21413</v>
      </c>
      <c r="K28" s="42">
        <f>21413+22375-10514.8</f>
        <v>33273.2</v>
      </c>
      <c r="Q28" s="43"/>
    </row>
    <row r="29" spans="1:17" ht="15.75">
      <c r="A29" s="22" t="s">
        <v>40</v>
      </c>
      <c r="B29" s="30" t="s">
        <v>123</v>
      </c>
      <c r="C29" s="24" t="s">
        <v>26</v>
      </c>
      <c r="D29" s="31">
        <v>106591.2</v>
      </c>
      <c r="E29" s="29">
        <f>37939.896+70260.004</f>
        <v>108199.9</v>
      </c>
      <c r="F29" s="27">
        <f t="shared" si="2"/>
        <v>1608.699999999997</v>
      </c>
      <c r="G29" s="27">
        <f t="shared" si="0"/>
        <v>101.5092240259984</v>
      </c>
      <c r="H29" s="28"/>
      <c r="I29" s="44">
        <v>3836.8</v>
      </c>
      <c r="K29" s="42">
        <f>5741-1156</f>
        <v>4585</v>
      </c>
      <c r="L29" s="42">
        <v>3389</v>
      </c>
      <c r="M29" s="7">
        <f>K29-L29</f>
        <v>1196</v>
      </c>
      <c r="N29" s="7" t="s">
        <v>41</v>
      </c>
      <c r="Q29" s="43"/>
    </row>
    <row r="30" spans="1:8" ht="15.75" customHeight="1">
      <c r="A30" s="22" t="s">
        <v>42</v>
      </c>
      <c r="B30" s="30" t="s">
        <v>124</v>
      </c>
      <c r="C30" s="24" t="s">
        <v>26</v>
      </c>
      <c r="D30" s="31">
        <v>16822.8</v>
      </c>
      <c r="E30" s="29">
        <v>17905.723</v>
      </c>
      <c r="F30" s="27">
        <f t="shared" si="2"/>
        <v>1082.9230000000025</v>
      </c>
      <c r="G30" s="27">
        <f t="shared" si="0"/>
        <v>106.4372339919633</v>
      </c>
      <c r="H30" s="28"/>
    </row>
    <row r="31" spans="1:8" ht="15.75">
      <c r="A31" s="22" t="s">
        <v>43</v>
      </c>
      <c r="B31" s="38" t="s">
        <v>7</v>
      </c>
      <c r="C31" s="24" t="s">
        <v>26</v>
      </c>
      <c r="D31" s="39">
        <v>606754</v>
      </c>
      <c r="E31" s="25">
        <f>634576.521+2944.28</f>
        <v>637520.801</v>
      </c>
      <c r="F31" s="26">
        <f t="shared" si="2"/>
        <v>30766.800999999978</v>
      </c>
      <c r="G31" s="27">
        <f t="shared" si="0"/>
        <v>105.07072075338604</v>
      </c>
      <c r="H31" s="32"/>
    </row>
    <row r="32" spans="1:17" s="49" customFormat="1" ht="27.75" customHeight="1">
      <c r="A32" s="13" t="s">
        <v>44</v>
      </c>
      <c r="B32" s="45" t="s">
        <v>146</v>
      </c>
      <c r="C32" s="3" t="s">
        <v>26</v>
      </c>
      <c r="D32" s="46">
        <f>SUM(D33:D38)</f>
        <v>283499.89999999997</v>
      </c>
      <c r="E32" s="19">
        <f>SUM(E33:E36)</f>
        <v>321962.155</v>
      </c>
      <c r="F32" s="47">
        <f t="shared" si="2"/>
        <v>38462.25500000006</v>
      </c>
      <c r="G32" s="20">
        <f t="shared" si="0"/>
        <v>113.56693776611564</v>
      </c>
      <c r="H32" s="48"/>
      <c r="I32" s="49" t="s">
        <v>45</v>
      </c>
      <c r="J32" s="49" t="s">
        <v>46</v>
      </c>
      <c r="K32" s="49" t="s">
        <v>47</v>
      </c>
      <c r="Q32" s="50"/>
    </row>
    <row r="33" spans="1:9" ht="15.75" hidden="1">
      <c r="A33" s="22" t="s">
        <v>131</v>
      </c>
      <c r="B33" s="30" t="s">
        <v>11</v>
      </c>
      <c r="C33" s="24" t="s">
        <v>26</v>
      </c>
      <c r="D33" s="31"/>
      <c r="E33" s="29"/>
      <c r="F33" s="27">
        <f t="shared" si="2"/>
        <v>0</v>
      </c>
      <c r="G33" s="27"/>
      <c r="H33" s="28"/>
      <c r="I33" s="51">
        <v>1666</v>
      </c>
    </row>
    <row r="34" spans="1:11" ht="15.75" hidden="1">
      <c r="A34" s="22" t="s">
        <v>132</v>
      </c>
      <c r="B34" s="30" t="s">
        <v>0</v>
      </c>
      <c r="C34" s="24" t="s">
        <v>26</v>
      </c>
      <c r="D34" s="31">
        <v>228580.8</v>
      </c>
      <c r="E34" s="29">
        <f>4502.1+32340.4+111302.7+109737.709+4015.4</f>
        <v>261898.309</v>
      </c>
      <c r="F34" s="27">
        <f t="shared" si="2"/>
        <v>33317.50900000002</v>
      </c>
      <c r="G34" s="27">
        <f t="shared" si="0"/>
        <v>114.57581257918426</v>
      </c>
      <c r="H34" s="32"/>
      <c r="I34" s="33">
        <v>16900</v>
      </c>
      <c r="J34" s="7">
        <v>3435</v>
      </c>
      <c r="K34" s="7">
        <v>1600</v>
      </c>
    </row>
    <row r="35" spans="1:10" ht="15.75" hidden="1">
      <c r="A35" s="22" t="s">
        <v>133</v>
      </c>
      <c r="B35" s="36" t="s">
        <v>8</v>
      </c>
      <c r="C35" s="24" t="s">
        <v>26</v>
      </c>
      <c r="D35" s="31">
        <v>45833</v>
      </c>
      <c r="E35" s="29">
        <f>6574.4+29087.446+16000</f>
        <v>51661.846</v>
      </c>
      <c r="F35" s="27">
        <f t="shared" si="2"/>
        <v>5828.845999999998</v>
      </c>
      <c r="G35" s="27">
        <f t="shared" si="0"/>
        <v>112.71757467327035</v>
      </c>
      <c r="H35" s="28"/>
      <c r="I35" s="52">
        <v>4277</v>
      </c>
      <c r="J35" s="7">
        <v>-500</v>
      </c>
    </row>
    <row r="36" spans="1:14" ht="15" customHeight="1" hidden="1">
      <c r="A36" s="22" t="s">
        <v>134</v>
      </c>
      <c r="B36" s="30" t="s">
        <v>13</v>
      </c>
      <c r="C36" s="24" t="s">
        <v>26</v>
      </c>
      <c r="D36" s="31">
        <v>9059.8</v>
      </c>
      <c r="E36" s="29">
        <f>8402</f>
        <v>8402</v>
      </c>
      <c r="F36" s="27">
        <f t="shared" si="2"/>
        <v>-657.7999999999993</v>
      </c>
      <c r="G36" s="27">
        <f t="shared" si="0"/>
        <v>92.73935406962627</v>
      </c>
      <c r="H36" s="28"/>
      <c r="I36" s="53">
        <v>3063.6</v>
      </c>
      <c r="N36" s="54" t="e">
        <f>E28+E51+#REF!</f>
        <v>#REF!</v>
      </c>
    </row>
    <row r="37" spans="1:8" ht="15.75" hidden="1">
      <c r="A37" s="22" t="s">
        <v>135</v>
      </c>
      <c r="B37" s="30" t="s">
        <v>48</v>
      </c>
      <c r="C37" s="24" t="s">
        <v>26</v>
      </c>
      <c r="D37" s="31">
        <f>26.43-0.13</f>
        <v>26.3</v>
      </c>
      <c r="E37" s="29"/>
      <c r="F37" s="27">
        <f t="shared" si="2"/>
        <v>-26.3</v>
      </c>
      <c r="G37" s="27">
        <f>E37/D37*100</f>
        <v>0</v>
      </c>
      <c r="H37" s="28"/>
    </row>
    <row r="38" spans="1:8" ht="15.75" hidden="1" outlineLevel="1">
      <c r="A38" s="55"/>
      <c r="B38" s="30" t="s">
        <v>12</v>
      </c>
      <c r="C38" s="24" t="s">
        <v>26</v>
      </c>
      <c r="D38" s="31"/>
      <c r="E38" s="29"/>
      <c r="F38" s="27">
        <f t="shared" si="2"/>
        <v>0</v>
      </c>
      <c r="G38" s="27" t="e">
        <f>E38/D38*100</f>
        <v>#DIV/0!</v>
      </c>
      <c r="H38" s="28"/>
    </row>
    <row r="39" spans="1:9" ht="18.75" customHeight="1" collapsed="1">
      <c r="A39" s="22" t="s">
        <v>49</v>
      </c>
      <c r="B39" s="38" t="s">
        <v>50</v>
      </c>
      <c r="C39" s="24" t="s">
        <v>26</v>
      </c>
      <c r="D39" s="39">
        <f>SUM(D40:D48)</f>
        <v>79513.2</v>
      </c>
      <c r="E39" s="39">
        <f>SUM(E40:E48)</f>
        <v>90419.747</v>
      </c>
      <c r="F39" s="26">
        <f>E39-D39</f>
        <v>10906.547000000006</v>
      </c>
      <c r="G39" s="27">
        <f>E39/D39*100</f>
        <v>113.71664956258836</v>
      </c>
      <c r="H39" s="28"/>
      <c r="I39" s="41"/>
    </row>
    <row r="40" spans="1:10" s="49" customFormat="1" ht="15.75">
      <c r="A40" s="13" t="s">
        <v>51</v>
      </c>
      <c r="B40" s="56" t="s">
        <v>52</v>
      </c>
      <c r="C40" s="3" t="s">
        <v>26</v>
      </c>
      <c r="D40" s="57">
        <v>2508</v>
      </c>
      <c r="E40" s="58">
        <f>1222.232+1489.285</f>
        <v>2711.517</v>
      </c>
      <c r="F40" s="20">
        <f>E40-D40</f>
        <v>203.51699999999983</v>
      </c>
      <c r="G40" s="20">
        <f aca="true" t="shared" si="3" ref="G40:G81">E40/D40*100</f>
        <v>108.11471291866029</v>
      </c>
      <c r="H40" s="48"/>
      <c r="I40" s="59">
        <v>-3063.6</v>
      </c>
      <c r="J40" s="49">
        <v>45</v>
      </c>
    </row>
    <row r="41" spans="1:11" s="49" customFormat="1" ht="15.75">
      <c r="A41" s="13" t="s">
        <v>53</v>
      </c>
      <c r="B41" s="56" t="s">
        <v>54</v>
      </c>
      <c r="C41" s="3" t="s">
        <v>26</v>
      </c>
      <c r="D41" s="57">
        <v>23199</v>
      </c>
      <c r="E41" s="58">
        <f>16900.1+9927.556</f>
        <v>26827.656</v>
      </c>
      <c r="F41" s="20">
        <f t="shared" si="2"/>
        <v>3628.655999999999</v>
      </c>
      <c r="G41" s="20">
        <f t="shared" si="3"/>
        <v>115.64143282038017</v>
      </c>
      <c r="H41" s="48"/>
      <c r="I41" s="60" t="s">
        <v>55</v>
      </c>
      <c r="J41" s="49">
        <v>-200</v>
      </c>
      <c r="K41" s="49">
        <v>-3435</v>
      </c>
    </row>
    <row r="42" spans="1:9" ht="15.75">
      <c r="A42" s="22" t="s">
        <v>56</v>
      </c>
      <c r="B42" s="30" t="s">
        <v>9</v>
      </c>
      <c r="C42" s="24" t="s">
        <v>26</v>
      </c>
      <c r="D42" s="57">
        <v>2959.8</v>
      </c>
      <c r="E42" s="57">
        <v>2959.8</v>
      </c>
      <c r="F42" s="27">
        <f t="shared" si="2"/>
        <v>0</v>
      </c>
      <c r="G42" s="27">
        <f t="shared" si="3"/>
        <v>100</v>
      </c>
      <c r="H42" s="28"/>
      <c r="I42" s="7">
        <v>200</v>
      </c>
    </row>
    <row r="43" spans="1:9" ht="15.75">
      <c r="A43" s="22" t="s">
        <v>57</v>
      </c>
      <c r="B43" s="30" t="s">
        <v>1</v>
      </c>
      <c r="C43" s="24" t="s">
        <v>26</v>
      </c>
      <c r="D43" s="57">
        <v>10030.2</v>
      </c>
      <c r="E43" s="57">
        <v>10768.9</v>
      </c>
      <c r="F43" s="27">
        <f t="shared" si="2"/>
        <v>738.6999999999989</v>
      </c>
      <c r="G43" s="27">
        <f t="shared" si="3"/>
        <v>107.36475842954276</v>
      </c>
      <c r="H43" s="28"/>
      <c r="I43" s="61">
        <v>-496</v>
      </c>
    </row>
    <row r="44" spans="1:10" ht="15.75">
      <c r="A44" s="22" t="s">
        <v>58</v>
      </c>
      <c r="B44" s="30" t="s">
        <v>2</v>
      </c>
      <c r="C44" s="24" t="s">
        <v>26</v>
      </c>
      <c r="D44" s="57">
        <v>3000</v>
      </c>
      <c r="E44" s="57">
        <v>3220.1</v>
      </c>
      <c r="F44" s="27">
        <f t="shared" si="2"/>
        <v>220.0999999999999</v>
      </c>
      <c r="G44" s="27">
        <f t="shared" si="3"/>
        <v>107.33666666666666</v>
      </c>
      <c r="H44" s="28"/>
      <c r="I44" s="62">
        <v>-2616.6</v>
      </c>
      <c r="J44" s="7">
        <v>45</v>
      </c>
    </row>
    <row r="45" spans="1:9" ht="15.75">
      <c r="A45" s="22" t="s">
        <v>59</v>
      </c>
      <c r="B45" s="30" t="s">
        <v>60</v>
      </c>
      <c r="C45" s="24" t="s">
        <v>26</v>
      </c>
      <c r="D45" s="57">
        <v>1827.5</v>
      </c>
      <c r="E45" s="58">
        <v>2924.4</v>
      </c>
      <c r="F45" s="27">
        <f t="shared" si="2"/>
        <v>1096.9</v>
      </c>
      <c r="G45" s="27">
        <f t="shared" si="3"/>
        <v>160.02188782489742</v>
      </c>
      <c r="H45" s="28"/>
      <c r="I45" s="63">
        <v>-200</v>
      </c>
    </row>
    <row r="46" spans="1:9" ht="15.75">
      <c r="A46" s="22" t="s">
        <v>61</v>
      </c>
      <c r="B46" s="30" t="s">
        <v>62</v>
      </c>
      <c r="C46" s="24" t="s">
        <v>26</v>
      </c>
      <c r="D46" s="57">
        <v>8839.7</v>
      </c>
      <c r="E46" s="58">
        <f>6392.959+6981.02</f>
        <v>13373.979</v>
      </c>
      <c r="F46" s="27">
        <f t="shared" si="2"/>
        <v>4534.278999999999</v>
      </c>
      <c r="G46" s="27">
        <f t="shared" si="3"/>
        <v>151.29448963200107</v>
      </c>
      <c r="H46" s="28"/>
      <c r="I46" s="64">
        <v>-5360</v>
      </c>
    </row>
    <row r="47" spans="1:9" ht="15.75">
      <c r="A47" s="22" t="s">
        <v>63</v>
      </c>
      <c r="B47" s="30" t="s">
        <v>6</v>
      </c>
      <c r="C47" s="24" t="s">
        <v>26</v>
      </c>
      <c r="D47" s="57">
        <v>254.1</v>
      </c>
      <c r="E47" s="58">
        <f>410.3+181.3</f>
        <v>591.6</v>
      </c>
      <c r="F47" s="27">
        <f t="shared" si="2"/>
        <v>337.5</v>
      </c>
      <c r="G47" s="27">
        <f t="shared" si="3"/>
        <v>232.82172373081465</v>
      </c>
      <c r="H47" s="28"/>
      <c r="I47" s="41">
        <v>-385.7</v>
      </c>
    </row>
    <row r="48" spans="1:9" ht="15.75">
      <c r="A48" s="22" t="s">
        <v>64</v>
      </c>
      <c r="B48" s="30" t="s">
        <v>3</v>
      </c>
      <c r="C48" s="24" t="s">
        <v>26</v>
      </c>
      <c r="D48" s="57">
        <v>26894.9</v>
      </c>
      <c r="E48" s="58">
        <v>27041.795</v>
      </c>
      <c r="F48" s="27">
        <f t="shared" si="2"/>
        <v>146.8949999999968</v>
      </c>
      <c r="G48" s="27">
        <f t="shared" si="3"/>
        <v>100.54618161807628</v>
      </c>
      <c r="H48" s="65"/>
      <c r="I48" s="66">
        <v>118.3</v>
      </c>
    </row>
    <row r="49" spans="1:9" ht="15.75">
      <c r="A49" s="22" t="s">
        <v>65</v>
      </c>
      <c r="B49" s="24" t="s">
        <v>4</v>
      </c>
      <c r="C49" s="24" t="s">
        <v>26</v>
      </c>
      <c r="D49" s="39">
        <f>D50+D55+D61</f>
        <v>335461.99999999994</v>
      </c>
      <c r="E49" s="39">
        <f>E50+E55+E61</f>
        <v>342139.76</v>
      </c>
      <c r="F49" s="27">
        <f t="shared" si="2"/>
        <v>6677.7600000000675</v>
      </c>
      <c r="G49" s="27">
        <f t="shared" si="3"/>
        <v>101.99061592669216</v>
      </c>
      <c r="H49" s="28"/>
      <c r="I49" s="41"/>
    </row>
    <row r="50" spans="1:8" ht="15.75">
      <c r="A50" s="22" t="s">
        <v>66</v>
      </c>
      <c r="B50" s="24" t="s">
        <v>67</v>
      </c>
      <c r="C50" s="24" t="s">
        <v>26</v>
      </c>
      <c r="D50" s="39">
        <f>SUM(D51:D54)</f>
        <v>284321.1</v>
      </c>
      <c r="E50" s="25">
        <f>SUM(E51:E54)</f>
        <v>285050.074</v>
      </c>
      <c r="F50" s="27">
        <f t="shared" si="2"/>
        <v>728.9740000000456</v>
      </c>
      <c r="G50" s="27">
        <f t="shared" si="3"/>
        <v>100.25639110146945</v>
      </c>
      <c r="H50" s="28"/>
    </row>
    <row r="51" spans="1:9" ht="15.75">
      <c r="A51" s="67" t="s">
        <v>68</v>
      </c>
      <c r="B51" s="68" t="s">
        <v>69</v>
      </c>
      <c r="C51" s="24" t="s">
        <v>26</v>
      </c>
      <c r="D51" s="31">
        <v>230743.8</v>
      </c>
      <c r="E51" s="29">
        <v>231318.01</v>
      </c>
      <c r="F51" s="27">
        <f>E51-D51</f>
        <v>574.210000000021</v>
      </c>
      <c r="G51" s="27">
        <f>E51/D51*100</f>
        <v>100.24885175679694</v>
      </c>
      <c r="H51" s="69"/>
      <c r="I51" s="7">
        <v>-22375</v>
      </c>
    </row>
    <row r="52" spans="1:13" ht="15.75">
      <c r="A52" s="67" t="s">
        <v>70</v>
      </c>
      <c r="B52" s="30" t="s">
        <v>123</v>
      </c>
      <c r="C52" s="24" t="s">
        <v>26</v>
      </c>
      <c r="D52" s="31">
        <v>19737.6</v>
      </c>
      <c r="E52" s="29">
        <f>20019.071</f>
        <v>20019.071</v>
      </c>
      <c r="F52" s="27">
        <f t="shared" si="2"/>
        <v>281.47100000000137</v>
      </c>
      <c r="G52" s="27">
        <f t="shared" si="3"/>
        <v>101.4260649724384</v>
      </c>
      <c r="H52" s="69"/>
      <c r="I52" s="70">
        <v>-3836.8</v>
      </c>
      <c r="J52" s="7">
        <v>-5741</v>
      </c>
      <c r="K52" s="7">
        <v>3389</v>
      </c>
      <c r="L52" s="7">
        <v>1156</v>
      </c>
      <c r="M52" s="7">
        <v>1196</v>
      </c>
    </row>
    <row r="53" spans="1:9" ht="15" customHeight="1" outlineLevel="1">
      <c r="A53" s="67" t="s">
        <v>71</v>
      </c>
      <c r="B53" s="30" t="s">
        <v>124</v>
      </c>
      <c r="C53" s="24" t="s">
        <v>26</v>
      </c>
      <c r="D53" s="31">
        <v>3111.5</v>
      </c>
      <c r="E53" s="29">
        <f>3087.287-162.5</f>
        <v>2924.787</v>
      </c>
      <c r="F53" s="27">
        <f t="shared" si="2"/>
        <v>-186.7130000000002</v>
      </c>
      <c r="G53" s="27">
        <f t="shared" si="3"/>
        <v>93.99926080668487</v>
      </c>
      <c r="H53" s="28"/>
      <c r="I53" s="54" t="e">
        <f>E40+E42+E43+E44+E45+E46+E47+E57+E59+E60+E62+E63+E65+E66+E67+E68+E69+E70+E72+E73+#REF!</f>
        <v>#REF!</v>
      </c>
    </row>
    <row r="54" spans="1:9" ht="15.75">
      <c r="A54" s="4" t="s">
        <v>140</v>
      </c>
      <c r="B54" s="71" t="s">
        <v>72</v>
      </c>
      <c r="C54" s="3" t="s">
        <v>26</v>
      </c>
      <c r="D54" s="72">
        <v>30728.2</v>
      </c>
      <c r="E54" s="19">
        <f>30867.619-79.413</f>
        <v>30788.206</v>
      </c>
      <c r="F54" s="20">
        <f t="shared" si="2"/>
        <v>60.005999999997584</v>
      </c>
      <c r="G54" s="20">
        <f t="shared" si="3"/>
        <v>100.19527990575432</v>
      </c>
      <c r="H54" s="48"/>
      <c r="I54" s="41"/>
    </row>
    <row r="55" spans="1:17" ht="15.75">
      <c r="A55" s="67">
        <v>7</v>
      </c>
      <c r="B55" s="68" t="s">
        <v>73</v>
      </c>
      <c r="C55" s="24" t="s">
        <v>26</v>
      </c>
      <c r="D55" s="39">
        <f>D56+D57+D58+D59+D60</f>
        <v>27156.8</v>
      </c>
      <c r="E55" s="25">
        <f>E56+E57+E58+E59+E60</f>
        <v>31095.388999999996</v>
      </c>
      <c r="F55" s="27">
        <f>E55-D55</f>
        <v>3938.5889999999963</v>
      </c>
      <c r="G55" s="27">
        <f>E55/D55*100</f>
        <v>114.50314101808755</v>
      </c>
      <c r="H55" s="48"/>
      <c r="I55" s="41"/>
      <c r="Q55" s="54"/>
    </row>
    <row r="56" spans="1:13" ht="15.75">
      <c r="A56" s="67" t="s">
        <v>74</v>
      </c>
      <c r="B56" s="68" t="s">
        <v>3</v>
      </c>
      <c r="C56" s="24" t="s">
        <v>26</v>
      </c>
      <c r="D56" s="31">
        <v>10137</v>
      </c>
      <c r="E56" s="29">
        <f>3846.819+1418.581+5622.915</f>
        <v>10888.314999999999</v>
      </c>
      <c r="F56" s="27">
        <f t="shared" si="2"/>
        <v>751.3149999999987</v>
      </c>
      <c r="G56" s="27">
        <f t="shared" si="3"/>
        <v>107.41161093025549</v>
      </c>
      <c r="H56" s="28"/>
      <c r="I56" s="41">
        <v>-3758</v>
      </c>
      <c r="J56" s="73">
        <v>-1666</v>
      </c>
      <c r="K56" s="7">
        <v>2092.4</v>
      </c>
      <c r="L56" s="74">
        <v>-914.5</v>
      </c>
      <c r="M56" s="75">
        <v>1177.9</v>
      </c>
    </row>
    <row r="57" spans="1:9" ht="15" customHeight="1" hidden="1" outlineLevel="1">
      <c r="A57" s="67"/>
      <c r="B57" s="68" t="s">
        <v>75</v>
      </c>
      <c r="C57" s="24" t="s">
        <v>26</v>
      </c>
      <c r="D57" s="31"/>
      <c r="E57" s="29"/>
      <c r="F57" s="27">
        <f t="shared" si="2"/>
        <v>0</v>
      </c>
      <c r="G57" s="27" t="e">
        <f t="shared" si="3"/>
        <v>#DIV/0!</v>
      </c>
      <c r="H57" s="28"/>
      <c r="I57" s="76">
        <v>295</v>
      </c>
    </row>
    <row r="58" spans="1:8" ht="15.75" collapsed="1">
      <c r="A58" s="67" t="s">
        <v>76</v>
      </c>
      <c r="B58" s="68" t="s">
        <v>77</v>
      </c>
      <c r="C58" s="24" t="s">
        <v>26</v>
      </c>
      <c r="D58" s="31">
        <v>10005.7</v>
      </c>
      <c r="E58" s="29">
        <v>10534.633</v>
      </c>
      <c r="F58" s="27">
        <f t="shared" si="2"/>
        <v>528.9329999999991</v>
      </c>
      <c r="G58" s="27">
        <f t="shared" si="3"/>
        <v>105.28631679942433</v>
      </c>
      <c r="H58" s="77"/>
    </row>
    <row r="59" spans="1:8" ht="15.75">
      <c r="A59" s="67" t="s">
        <v>78</v>
      </c>
      <c r="B59" s="68" t="s">
        <v>79</v>
      </c>
      <c r="C59" s="24" t="s">
        <v>26</v>
      </c>
      <c r="D59" s="31">
        <v>3119.5</v>
      </c>
      <c r="E59" s="29">
        <f>35.992+2500+850</f>
        <v>3385.992</v>
      </c>
      <c r="F59" s="27">
        <f t="shared" si="2"/>
        <v>266.4920000000002</v>
      </c>
      <c r="G59" s="27">
        <f t="shared" si="3"/>
        <v>108.54277929155313</v>
      </c>
      <c r="H59" s="28"/>
    </row>
    <row r="60" spans="1:11" ht="15.75">
      <c r="A60" s="67" t="s">
        <v>80</v>
      </c>
      <c r="B60" s="68" t="s">
        <v>81</v>
      </c>
      <c r="C60" s="24" t="s">
        <v>26</v>
      </c>
      <c r="D60" s="31">
        <v>3894.6</v>
      </c>
      <c r="E60" s="29">
        <v>6286.449</v>
      </c>
      <c r="F60" s="27">
        <f t="shared" si="2"/>
        <v>2391.8489999999997</v>
      </c>
      <c r="G60" s="27">
        <f t="shared" si="3"/>
        <v>161.41449699584038</v>
      </c>
      <c r="H60" s="28"/>
      <c r="K60" s="78" t="e">
        <f>E33+E48+E56+#REF!+#REF!</f>
        <v>#REF!</v>
      </c>
    </row>
    <row r="61" spans="1:11" ht="15.75">
      <c r="A61" s="79">
        <v>8</v>
      </c>
      <c r="B61" s="23" t="s">
        <v>82</v>
      </c>
      <c r="C61" s="24" t="s">
        <v>26</v>
      </c>
      <c r="D61" s="39">
        <f>SUM(D62:D73)</f>
        <v>23984.1</v>
      </c>
      <c r="E61" s="39">
        <f>SUM(E62:E73)</f>
        <v>25994.297</v>
      </c>
      <c r="F61" s="26">
        <f t="shared" si="2"/>
        <v>2010.1970000000001</v>
      </c>
      <c r="G61" s="26">
        <f t="shared" si="3"/>
        <v>108.38137349327263</v>
      </c>
      <c r="H61" s="28"/>
      <c r="K61" s="80">
        <v>40134</v>
      </c>
    </row>
    <row r="62" spans="1:11" ht="15.75">
      <c r="A62" s="22" t="s">
        <v>83</v>
      </c>
      <c r="B62" s="68" t="s">
        <v>84</v>
      </c>
      <c r="C62" s="24" t="s">
        <v>26</v>
      </c>
      <c r="D62" s="31">
        <v>6666.4</v>
      </c>
      <c r="E62" s="29">
        <v>6666.428</v>
      </c>
      <c r="F62" s="27">
        <f t="shared" si="2"/>
        <v>0.028000000000247383</v>
      </c>
      <c r="G62" s="27">
        <f t="shared" si="3"/>
        <v>100.00042001680067</v>
      </c>
      <c r="H62" s="28"/>
      <c r="I62" s="81">
        <v>1748</v>
      </c>
      <c r="K62" s="78" t="e">
        <f>K61-K60</f>
        <v>#REF!</v>
      </c>
    </row>
    <row r="63" spans="1:9" ht="15.75">
      <c r="A63" s="22" t="s">
        <v>85</v>
      </c>
      <c r="B63" s="68" t="s">
        <v>86</v>
      </c>
      <c r="C63" s="24" t="s">
        <v>26</v>
      </c>
      <c r="D63" s="31">
        <v>4396</v>
      </c>
      <c r="E63" s="31">
        <v>4440</v>
      </c>
      <c r="F63" s="27">
        <f t="shared" si="2"/>
        <v>44</v>
      </c>
      <c r="G63" s="27">
        <f t="shared" si="3"/>
        <v>101.00090991810737</v>
      </c>
      <c r="H63" s="28"/>
      <c r="I63" s="82">
        <v>-532.8</v>
      </c>
    </row>
    <row r="64" spans="1:11" ht="15.75">
      <c r="A64" s="22" t="s">
        <v>87</v>
      </c>
      <c r="B64" s="68" t="s">
        <v>88</v>
      </c>
      <c r="C64" s="24" t="s">
        <v>26</v>
      </c>
      <c r="D64" s="31">
        <v>4000</v>
      </c>
      <c r="E64" s="31">
        <v>4136</v>
      </c>
      <c r="F64" s="27">
        <f t="shared" si="2"/>
        <v>136</v>
      </c>
      <c r="G64" s="27">
        <f t="shared" si="3"/>
        <v>103.4</v>
      </c>
      <c r="H64" s="48"/>
      <c r="I64" s="7">
        <v>-640</v>
      </c>
      <c r="J64" s="83">
        <v>-295</v>
      </c>
      <c r="K64" s="84">
        <v>345</v>
      </c>
    </row>
    <row r="65" spans="1:9" ht="15.75">
      <c r="A65" s="22" t="s">
        <v>89</v>
      </c>
      <c r="B65" s="68" t="s">
        <v>90</v>
      </c>
      <c r="C65" s="24" t="s">
        <v>26</v>
      </c>
      <c r="D65" s="31">
        <v>1000</v>
      </c>
      <c r="E65" s="31">
        <v>1194</v>
      </c>
      <c r="F65" s="27">
        <f>E65-D65</f>
        <v>194</v>
      </c>
      <c r="G65" s="27">
        <f>E65/D65*100</f>
        <v>119.39999999999999</v>
      </c>
      <c r="H65" s="28"/>
      <c r="I65" s="82">
        <v>532.8</v>
      </c>
    </row>
    <row r="66" spans="1:9" ht="15.75">
      <c r="A66" s="22" t="s">
        <v>91</v>
      </c>
      <c r="B66" s="68" t="s">
        <v>92</v>
      </c>
      <c r="C66" s="24" t="s">
        <v>26</v>
      </c>
      <c r="D66" s="31">
        <v>1160.1</v>
      </c>
      <c r="E66" s="29">
        <v>1266.81</v>
      </c>
      <c r="F66" s="27">
        <f>E66-D66</f>
        <v>106.71000000000004</v>
      </c>
      <c r="G66" s="27">
        <f>E66/D66*100</f>
        <v>109.19834497026119</v>
      </c>
      <c r="H66" s="28"/>
      <c r="I66" s="7">
        <v>-135</v>
      </c>
    </row>
    <row r="67" spans="1:9" ht="15.75">
      <c r="A67" s="22" t="s">
        <v>93</v>
      </c>
      <c r="B67" s="68" t="s">
        <v>95</v>
      </c>
      <c r="C67" s="24" t="s">
        <v>26</v>
      </c>
      <c r="D67" s="31">
        <v>718.5</v>
      </c>
      <c r="E67" s="29">
        <v>981.7</v>
      </c>
      <c r="F67" s="27">
        <f t="shared" si="2"/>
        <v>263.20000000000005</v>
      </c>
      <c r="G67" s="27">
        <f t="shared" si="3"/>
        <v>136.63187195546277</v>
      </c>
      <c r="H67" s="28"/>
      <c r="I67" s="84">
        <v>113.6</v>
      </c>
    </row>
    <row r="68" spans="1:9" ht="15.75">
      <c r="A68" s="22" t="s">
        <v>94</v>
      </c>
      <c r="B68" s="68" t="s">
        <v>97</v>
      </c>
      <c r="C68" s="24" t="s">
        <v>26</v>
      </c>
      <c r="D68" s="31">
        <v>937.5</v>
      </c>
      <c r="E68" s="29">
        <v>1014.637</v>
      </c>
      <c r="F68" s="27">
        <f t="shared" si="2"/>
        <v>77.13699999999994</v>
      </c>
      <c r="G68" s="27">
        <f t="shared" si="3"/>
        <v>108.22794666666667</v>
      </c>
      <c r="H68" s="28"/>
      <c r="I68" s="84">
        <v>231</v>
      </c>
    </row>
    <row r="69" spans="1:9" ht="15.75">
      <c r="A69" s="22" t="s">
        <v>96</v>
      </c>
      <c r="B69" s="68" t="s">
        <v>99</v>
      </c>
      <c r="C69" s="24" t="s">
        <v>26</v>
      </c>
      <c r="D69" s="31">
        <v>84.7</v>
      </c>
      <c r="E69" s="29">
        <v>99.9</v>
      </c>
      <c r="F69" s="27">
        <f t="shared" si="2"/>
        <v>15.200000000000003</v>
      </c>
      <c r="G69" s="27">
        <f t="shared" si="3"/>
        <v>117.94569067296341</v>
      </c>
      <c r="H69" s="28"/>
      <c r="I69" s="61">
        <v>6.8</v>
      </c>
    </row>
    <row r="70" spans="1:9" ht="15.75">
      <c r="A70" s="22" t="s">
        <v>98</v>
      </c>
      <c r="B70" s="68" t="s">
        <v>10</v>
      </c>
      <c r="C70" s="24" t="s">
        <v>26</v>
      </c>
      <c r="D70" s="31">
        <v>1504</v>
      </c>
      <c r="E70" s="29">
        <f>132+549.571+1011.428</f>
        <v>1692.999</v>
      </c>
      <c r="F70" s="27">
        <f t="shared" si="2"/>
        <v>188.99900000000002</v>
      </c>
      <c r="G70" s="27">
        <f t="shared" si="3"/>
        <v>112.56642287234042</v>
      </c>
      <c r="H70" s="37"/>
      <c r="I70" s="61">
        <v>391</v>
      </c>
    </row>
    <row r="71" spans="1:8" ht="15.75">
      <c r="A71" s="22" t="s">
        <v>100</v>
      </c>
      <c r="B71" s="68" t="s">
        <v>102</v>
      </c>
      <c r="C71" s="24" t="s">
        <v>26</v>
      </c>
      <c r="D71" s="31">
        <v>1220.3</v>
      </c>
      <c r="E71" s="29">
        <v>2024.997</v>
      </c>
      <c r="F71" s="27">
        <f t="shared" si="2"/>
        <v>804.6970000000001</v>
      </c>
      <c r="G71" s="27">
        <f t="shared" si="3"/>
        <v>165.94255510939934</v>
      </c>
      <c r="H71" s="28"/>
    </row>
    <row r="72" spans="1:9" ht="15.75">
      <c r="A72" s="22" t="s">
        <v>101</v>
      </c>
      <c r="B72" s="68" t="s">
        <v>120</v>
      </c>
      <c r="C72" s="24" t="s">
        <v>26</v>
      </c>
      <c r="D72" s="31">
        <v>99.6</v>
      </c>
      <c r="E72" s="29">
        <v>122.655</v>
      </c>
      <c r="F72" s="27">
        <f t="shared" si="2"/>
        <v>23.055000000000007</v>
      </c>
      <c r="G72" s="27">
        <f t="shared" si="3"/>
        <v>123.14759036144581</v>
      </c>
      <c r="H72" s="28"/>
      <c r="I72" s="85"/>
    </row>
    <row r="73" spans="1:9" ht="18.75" customHeight="1">
      <c r="A73" s="22" t="s">
        <v>103</v>
      </c>
      <c r="B73" s="68" t="s">
        <v>5</v>
      </c>
      <c r="C73" s="24" t="s">
        <v>26</v>
      </c>
      <c r="D73" s="31">
        <v>2197</v>
      </c>
      <c r="E73" s="29">
        <f>2263.571+90.6</f>
        <v>2354.171</v>
      </c>
      <c r="F73" s="27">
        <f t="shared" si="2"/>
        <v>157.17099999999982</v>
      </c>
      <c r="G73" s="27">
        <f t="shared" si="3"/>
        <v>107.1538916704597</v>
      </c>
      <c r="H73" s="28"/>
      <c r="I73" s="85">
        <v>200</v>
      </c>
    </row>
    <row r="74" spans="1:9" ht="18" customHeight="1">
      <c r="A74" s="22" t="s">
        <v>104</v>
      </c>
      <c r="B74" s="38" t="s">
        <v>105</v>
      </c>
      <c r="C74" s="24" t="s">
        <v>26</v>
      </c>
      <c r="D74" s="39">
        <f>D49+D18</f>
        <v>3873813.8000000003</v>
      </c>
      <c r="E74" s="86">
        <f>E49+E18</f>
        <v>3955934.2420000006</v>
      </c>
      <c r="F74" s="27">
        <f t="shared" si="2"/>
        <v>82120.44200000027</v>
      </c>
      <c r="G74" s="26">
        <f t="shared" si="3"/>
        <v>102.1198861442437</v>
      </c>
      <c r="H74" s="28"/>
      <c r="I74" s="41"/>
    </row>
    <row r="75" spans="1:9" ht="21" customHeight="1" hidden="1">
      <c r="A75" s="22" t="s">
        <v>106</v>
      </c>
      <c r="B75" s="38" t="s">
        <v>107</v>
      </c>
      <c r="C75" s="24" t="s">
        <v>26</v>
      </c>
      <c r="D75" s="39"/>
      <c r="E75" s="25"/>
      <c r="F75" s="87">
        <f t="shared" si="2"/>
        <v>0</v>
      </c>
      <c r="G75" s="24"/>
      <c r="H75" s="28"/>
      <c r="I75" s="41"/>
    </row>
    <row r="76" spans="1:9" ht="18" customHeight="1">
      <c r="A76" s="22" t="s">
        <v>141</v>
      </c>
      <c r="B76" s="30" t="s">
        <v>125</v>
      </c>
      <c r="C76" s="24" t="s">
        <v>26</v>
      </c>
      <c r="D76" s="39">
        <v>5422.5</v>
      </c>
      <c r="E76" s="25"/>
      <c r="F76" s="87"/>
      <c r="G76" s="24"/>
      <c r="H76" s="28"/>
      <c r="I76" s="41"/>
    </row>
    <row r="77" spans="1:9" ht="15" customHeight="1">
      <c r="A77" s="22" t="s">
        <v>142</v>
      </c>
      <c r="B77" s="88" t="s">
        <v>108</v>
      </c>
      <c r="C77" s="24" t="s">
        <v>26</v>
      </c>
      <c r="D77" s="39">
        <f>D74-D76</f>
        <v>3868391.3000000003</v>
      </c>
      <c r="E77" s="25">
        <f>E74-E76</f>
        <v>3955934.2420000006</v>
      </c>
      <c r="F77" s="87">
        <f t="shared" si="2"/>
        <v>87542.94200000027</v>
      </c>
      <c r="G77" s="24">
        <f t="shared" si="3"/>
        <v>102.26303223254587</v>
      </c>
      <c r="H77" s="28"/>
      <c r="I77" s="41"/>
    </row>
    <row r="78" spans="1:9" ht="15.75" customHeight="1">
      <c r="A78" s="133" t="s">
        <v>143</v>
      </c>
      <c r="B78" s="134" t="s">
        <v>109</v>
      </c>
      <c r="C78" s="24" t="s">
        <v>110</v>
      </c>
      <c r="D78" s="39">
        <v>685000</v>
      </c>
      <c r="E78" s="25">
        <v>715740.25</v>
      </c>
      <c r="F78" s="87">
        <f>E78-D78</f>
        <v>30740.25</v>
      </c>
      <c r="G78" s="24">
        <f>E78/D78*100</f>
        <v>104.48762773722629</v>
      </c>
      <c r="H78" s="89"/>
      <c r="I78" s="41">
        <v>34.7</v>
      </c>
    </row>
    <row r="79" spans="1:9" ht="1.5" customHeight="1" hidden="1">
      <c r="A79" s="133"/>
      <c r="B79" s="134"/>
      <c r="C79" s="24" t="s">
        <v>26</v>
      </c>
      <c r="D79" s="39">
        <f>D77</f>
        <v>3868391.3000000003</v>
      </c>
      <c r="E79" s="90">
        <v>4054189.391</v>
      </c>
      <c r="F79" s="87">
        <f t="shared" si="2"/>
        <v>185798.09099999955</v>
      </c>
      <c r="G79" s="24">
        <f t="shared" si="3"/>
        <v>104.80298078945631</v>
      </c>
      <c r="H79" s="91"/>
      <c r="I79" s="41"/>
    </row>
    <row r="80" spans="1:8" ht="15.75" customHeight="1">
      <c r="A80" s="133" t="s">
        <v>144</v>
      </c>
      <c r="B80" s="134" t="s">
        <v>139</v>
      </c>
      <c r="C80" s="24" t="s">
        <v>110</v>
      </c>
      <c r="D80" s="39">
        <v>134535.2</v>
      </c>
      <c r="E80" s="25">
        <v>133182.25</v>
      </c>
      <c r="F80" s="87">
        <f t="shared" si="2"/>
        <v>-1352.9500000000116</v>
      </c>
      <c r="G80" s="24">
        <f t="shared" si="3"/>
        <v>98.99435240739969</v>
      </c>
      <c r="H80" s="92"/>
    </row>
    <row r="81" spans="1:8" ht="15.75">
      <c r="A81" s="133"/>
      <c r="B81" s="134"/>
      <c r="C81" s="24" t="s">
        <v>111</v>
      </c>
      <c r="D81" s="93">
        <v>14.7</v>
      </c>
      <c r="E81" s="93">
        <v>14.7</v>
      </c>
      <c r="F81" s="87">
        <f t="shared" si="2"/>
        <v>0</v>
      </c>
      <c r="G81" s="24">
        <f t="shared" si="3"/>
        <v>100</v>
      </c>
      <c r="H81" s="28"/>
    </row>
    <row r="82" spans="1:8" ht="19.5" customHeight="1" thickBot="1">
      <c r="A82" s="94" t="s">
        <v>145</v>
      </c>
      <c r="B82" s="95" t="s">
        <v>112</v>
      </c>
      <c r="C82" s="96" t="s">
        <v>113</v>
      </c>
      <c r="D82" s="97">
        <f>D79/D78</f>
        <v>5.647286569343066</v>
      </c>
      <c r="E82" s="97">
        <f>E79/E78</f>
        <v>5.664330587807518</v>
      </c>
      <c r="F82" s="98">
        <f t="shared" si="2"/>
        <v>0.017044018464451582</v>
      </c>
      <c r="G82" s="96">
        <v>100</v>
      </c>
      <c r="H82" s="99"/>
    </row>
    <row r="83" spans="1:17" ht="22.5" customHeight="1">
      <c r="A83" s="136" t="s">
        <v>114</v>
      </c>
      <c r="B83" s="136"/>
      <c r="C83" s="136"/>
      <c r="D83" s="136"/>
      <c r="E83" s="136"/>
      <c r="F83" s="136"/>
      <c r="G83" s="136"/>
      <c r="H83" s="136"/>
      <c r="Q83" s="43"/>
    </row>
    <row r="84" spans="1:17" ht="21.75" customHeight="1">
      <c r="A84" s="136" t="s">
        <v>115</v>
      </c>
      <c r="B84" s="136"/>
      <c r="C84" s="136"/>
      <c r="D84" s="136"/>
      <c r="E84" s="136"/>
      <c r="F84" s="136"/>
      <c r="G84" s="136"/>
      <c r="H84" s="136"/>
      <c r="Q84" s="43"/>
    </row>
    <row r="85" spans="1:17" ht="20.25" customHeight="1">
      <c r="A85" s="136" t="s">
        <v>116</v>
      </c>
      <c r="B85" s="136"/>
      <c r="C85" s="136"/>
      <c r="D85" s="136"/>
      <c r="E85" s="136"/>
      <c r="F85" s="136"/>
      <c r="G85" s="136"/>
      <c r="H85" s="136"/>
      <c r="Q85" s="43"/>
    </row>
    <row r="86" spans="1:8" ht="23.25" customHeight="1">
      <c r="A86" s="136" t="s">
        <v>126</v>
      </c>
      <c r="B86" s="136"/>
      <c r="C86" s="136"/>
      <c r="D86" s="136"/>
      <c r="E86" s="136"/>
      <c r="F86" s="136"/>
      <c r="G86" s="136"/>
      <c r="H86" s="136"/>
    </row>
    <row r="87" spans="1:8" ht="21.75" customHeight="1">
      <c r="A87" s="136" t="s">
        <v>117</v>
      </c>
      <c r="B87" s="136"/>
      <c r="C87" s="136"/>
      <c r="D87" s="136"/>
      <c r="E87" s="136"/>
      <c r="F87" s="136"/>
      <c r="G87" s="136"/>
      <c r="H87" s="136"/>
    </row>
    <row r="88" spans="1:8" ht="21.75" customHeight="1">
      <c r="A88" s="100"/>
      <c r="B88" s="100"/>
      <c r="C88" s="100"/>
      <c r="D88" s="100"/>
      <c r="E88" s="101"/>
      <c r="F88" s="102"/>
      <c r="G88" s="100"/>
      <c r="H88" s="100"/>
    </row>
    <row r="89" spans="1:8" s="49" customFormat="1" ht="16.5" customHeight="1">
      <c r="A89" s="109"/>
      <c r="B89" s="109"/>
      <c r="C89" s="109"/>
      <c r="D89" s="109"/>
      <c r="E89" s="109"/>
      <c r="F89" s="109"/>
      <c r="G89" s="109"/>
      <c r="H89" s="109"/>
    </row>
    <row r="90" spans="1:8" s="49" customFormat="1" ht="12.75" customHeight="1">
      <c r="A90" s="135"/>
      <c r="B90" s="135"/>
      <c r="C90" s="135"/>
      <c r="D90" s="135"/>
      <c r="E90" s="135"/>
      <c r="F90" s="135"/>
      <c r="G90" s="135"/>
      <c r="H90" s="135"/>
    </row>
    <row r="91" spans="1:8" ht="15.75">
      <c r="A91" s="100" t="s">
        <v>118</v>
      </c>
      <c r="B91" s="102"/>
      <c r="C91" s="102"/>
      <c r="D91" s="102"/>
      <c r="E91" s="103"/>
      <c r="F91" s="102"/>
      <c r="G91" s="102"/>
      <c r="H91" s="102"/>
    </row>
    <row r="92" spans="1:8" ht="15.75">
      <c r="A92" s="1" t="s">
        <v>119</v>
      </c>
      <c r="B92" s="104"/>
      <c r="C92" s="104"/>
      <c r="D92" s="104"/>
      <c r="E92" s="105"/>
      <c r="F92" s="104"/>
      <c r="G92" s="104"/>
      <c r="H92" s="104"/>
    </row>
  </sheetData>
  <sheetProtection/>
  <mergeCells count="30">
    <mergeCell ref="A90:H90"/>
    <mergeCell ref="A83:H83"/>
    <mergeCell ref="A84:H84"/>
    <mergeCell ref="A85:H85"/>
    <mergeCell ref="A86:H86"/>
    <mergeCell ref="A87:H87"/>
    <mergeCell ref="A89:H89"/>
    <mergeCell ref="H13:H16"/>
    <mergeCell ref="F14:F16"/>
    <mergeCell ref="G14:G16"/>
    <mergeCell ref="A78:A79"/>
    <mergeCell ref="B78:B79"/>
    <mergeCell ref="A80:A81"/>
    <mergeCell ref="B80:B81"/>
    <mergeCell ref="A9:H9"/>
    <mergeCell ref="A10:H10"/>
    <mergeCell ref="A11:H11"/>
    <mergeCell ref="A12:H12"/>
    <mergeCell ref="A13:A16"/>
    <mergeCell ref="B13:B16"/>
    <mergeCell ref="C13:C16"/>
    <mergeCell ref="D13:D16"/>
    <mergeCell ref="E13:E16"/>
    <mergeCell ref="F13:G13"/>
    <mergeCell ref="F1:H1"/>
    <mergeCell ref="A2:H2"/>
    <mergeCell ref="A3:H3"/>
    <mergeCell ref="A5:H5"/>
    <mergeCell ref="A7:H7"/>
    <mergeCell ref="A8:H8"/>
  </mergeCells>
  <printOptions horizontalCentered="1"/>
  <pageMargins left="0.2" right="0.1968503937007874" top="0.1968503937007874" bottom="0.1968503937007874" header="0.1968503937007874" footer="0.1968503937007874"/>
  <pageSetup fitToHeight="2" horizontalDpi="600" verticalDpi="600" orientation="portrait" paperSize="9" scale="70" r:id="rId1"/>
  <rowBreaks count="1" manualBreakCount="1"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2019-03-19T09:03:39Z</cp:lastPrinted>
  <dcterms:created xsi:type="dcterms:W3CDTF">2005-02-11T08:00:00Z</dcterms:created>
  <dcterms:modified xsi:type="dcterms:W3CDTF">2019-04-11T09:40:24Z</dcterms:modified>
  <cp:category/>
  <cp:version/>
  <cp:contentType/>
  <cp:contentStatus/>
</cp:coreProperties>
</file>